
<file path=xl/calcChain.xml><?xml version="1.0" encoding="utf-8"?>
<calcChain xmlns="http://schemas.openxmlformats.org/spreadsheetml/2006/main">
  <c r="A56" i="9" l="1"/>
  <c r="A37" i="9"/>
  <c r="A18" i="9"/>
  <c r="B322" i="5"/>
  <c r="A49" i="9"/>
  <c r="A30" i="9"/>
  <c r="A11" i="9"/>
  <c r="B321" i="5"/>
  <c r="A94" i="23" l="1"/>
  <c r="A75" i="23"/>
  <c r="A42" i="23"/>
  <c r="A25" i="13"/>
  <c r="A29" i="13"/>
  <c r="A30" i="13"/>
  <c r="B303" i="5"/>
  <c r="B304" i="5" s="1"/>
  <c r="B305" i="5" s="1"/>
  <c r="B306" i="5" s="1"/>
  <c r="B307" i="5" s="1"/>
  <c r="B308" i="5" s="1"/>
  <c r="B309" i="5" s="1"/>
  <c r="B310" i="5" s="1"/>
  <c r="B311" i="5" s="1"/>
  <c r="B312" i="5" s="1"/>
  <c r="B313" i="5" s="1"/>
  <c r="B314" i="5" s="1"/>
  <c r="B315" i="5" s="1"/>
  <c r="B316" i="5" s="1"/>
  <c r="B317" i="5" s="1"/>
  <c r="B318" i="5" s="1"/>
  <c r="B319" i="5" s="1"/>
  <c r="B320" i="5" s="1"/>
  <c r="B302" i="5"/>
  <c r="A26" i="29" l="1"/>
  <c r="A39" i="29" l="1"/>
  <c r="A78" i="29"/>
  <c r="A54" i="14"/>
  <c r="A55" i="14"/>
  <c r="B57" i="14"/>
  <c r="C57" i="14"/>
  <c r="D57" i="14"/>
  <c r="E57" i="14"/>
  <c r="F57" i="14"/>
  <c r="G57" i="14"/>
  <c r="H57" i="14"/>
  <c r="A58" i="14"/>
  <c r="A59" i="14"/>
  <c r="A60" i="14"/>
  <c r="A61" i="14"/>
  <c r="A62" i="14"/>
  <c r="A63" i="14"/>
  <c r="A64" i="14"/>
  <c r="A65" i="14"/>
  <c r="A66" i="14"/>
  <c r="A67" i="14"/>
  <c r="A68" i="14"/>
  <c r="A69" i="14"/>
  <c r="A70" i="14"/>
  <c r="A71" i="14"/>
  <c r="A72" i="14"/>
  <c r="A73" i="14"/>
  <c r="A74" i="14"/>
  <c r="A75" i="14"/>
  <c r="A76" i="14"/>
  <c r="A77" i="14"/>
  <c r="A79" i="14"/>
  <c r="A80" i="14"/>
  <c r="A81" i="14"/>
  <c r="A82" i="14"/>
  <c r="A83" i="14"/>
  <c r="A84" i="14"/>
  <c r="A85" i="14"/>
  <c r="A86" i="14"/>
  <c r="A87" i="14"/>
  <c r="A88" i="14"/>
  <c r="A89" i="14"/>
  <c r="A90" i="14"/>
  <c r="A91" i="14"/>
  <c r="A92" i="14"/>
  <c r="A93" i="14"/>
  <c r="A94" i="14"/>
  <c r="A95" i="14"/>
  <c r="A96" i="14"/>
  <c r="A97" i="14"/>
  <c r="A98" i="14"/>
  <c r="A100" i="14"/>
  <c r="A101" i="14"/>
  <c r="A102" i="14"/>
  <c r="A103" i="14"/>
  <c r="A104" i="14"/>
  <c r="A105" i="14"/>
  <c r="A106" i="14"/>
  <c r="C34" i="4" l="1"/>
  <c r="C14" i="4" l="1"/>
  <c r="H34" i="30" l="1"/>
  <c r="G34" i="30"/>
  <c r="F34" i="30"/>
  <c r="E34" i="30"/>
  <c r="D34" i="30"/>
  <c r="C34" i="30"/>
  <c r="B34" i="30"/>
  <c r="H4" i="30"/>
  <c r="G4" i="30"/>
  <c r="F4" i="30"/>
  <c r="E4" i="30"/>
  <c r="D4" i="30"/>
  <c r="C4" i="30"/>
  <c r="B4" i="30"/>
  <c r="A61" i="30"/>
  <c r="A60" i="30"/>
  <c r="A58" i="30"/>
  <c r="A57" i="30"/>
  <c r="A56" i="30"/>
  <c r="A55" i="30"/>
  <c r="A54" i="30"/>
  <c r="A53" i="30"/>
  <c r="A52" i="30"/>
  <c r="A51" i="30"/>
  <c r="A50" i="30"/>
  <c r="A49" i="30"/>
  <c r="A48" i="30"/>
  <c r="A47" i="30"/>
  <c r="A46" i="30"/>
  <c r="A45" i="30"/>
  <c r="A44" i="30"/>
  <c r="A43" i="30"/>
  <c r="A42" i="30"/>
  <c r="A41" i="30"/>
  <c r="A40" i="30"/>
  <c r="A39" i="30"/>
  <c r="A38" i="30"/>
  <c r="A37" i="30"/>
  <c r="A36" i="30"/>
  <c r="A35"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2" i="30"/>
  <c r="A77" i="29"/>
  <c r="A75" i="29"/>
  <c r="A74" i="29"/>
  <c r="A73" i="29"/>
  <c r="A72" i="29"/>
  <c r="A70" i="29"/>
  <c r="A69" i="29"/>
  <c r="A68" i="29"/>
  <c r="A67" i="29"/>
  <c r="A66" i="29"/>
  <c r="A65" i="29"/>
  <c r="A64" i="29"/>
  <c r="A63" i="29"/>
  <c r="A62" i="29"/>
  <c r="A61" i="29"/>
  <c r="A60" i="29"/>
  <c r="A58" i="29"/>
  <c r="A57" i="29"/>
  <c r="A56" i="29"/>
  <c r="A55" i="29"/>
  <c r="A54" i="29"/>
  <c r="A53" i="29"/>
  <c r="A52" i="29"/>
  <c r="A51" i="29"/>
  <c r="A50" i="29"/>
  <c r="A49" i="29"/>
  <c r="A48" i="29"/>
  <c r="A47" i="29"/>
  <c r="A46" i="29"/>
  <c r="A45" i="29"/>
  <c r="A41" i="29"/>
  <c r="A40" i="29"/>
  <c r="A38" i="29"/>
  <c r="A36" i="29"/>
  <c r="A35" i="29"/>
  <c r="A34" i="29"/>
  <c r="A33" i="29"/>
  <c r="A31" i="29"/>
  <c r="A30" i="29"/>
  <c r="A29" i="29"/>
  <c r="A28" i="29"/>
  <c r="A27" i="29"/>
  <c r="A25" i="29"/>
  <c r="A24" i="29"/>
  <c r="A23" i="29"/>
  <c r="A22" i="29"/>
  <c r="A21" i="29"/>
  <c r="A19" i="29"/>
  <c r="A18" i="29"/>
  <c r="A17" i="29"/>
  <c r="A16" i="29"/>
  <c r="A15" i="29"/>
  <c r="A14" i="29"/>
  <c r="A13" i="29"/>
  <c r="A12" i="29"/>
  <c r="A11" i="29"/>
  <c r="A10" i="29"/>
  <c r="A9" i="29"/>
  <c r="A8" i="29"/>
  <c r="A7" i="29"/>
  <c r="A6" i="29"/>
  <c r="A2" i="29"/>
  <c r="H5" i="28"/>
  <c r="G5" i="28"/>
  <c r="F5" i="28"/>
  <c r="E5" i="28"/>
  <c r="D5" i="28"/>
  <c r="C5" i="28"/>
  <c r="B5"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5" i="28"/>
  <c r="A24" i="28"/>
  <c r="A23" i="28"/>
  <c r="A22" i="28"/>
  <c r="A21" i="28"/>
  <c r="A20" i="28"/>
  <c r="A19" i="28"/>
  <c r="A18" i="28"/>
  <c r="A17" i="28"/>
  <c r="A16" i="28"/>
  <c r="A15" i="28"/>
  <c r="A14" i="28"/>
  <c r="A13" i="28"/>
  <c r="A12" i="28"/>
  <c r="A11" i="28"/>
  <c r="A10" i="28"/>
  <c r="A9" i="28"/>
  <c r="A8" i="28"/>
  <c r="A7" i="28"/>
  <c r="A6" i="28"/>
  <c r="A3" i="28"/>
  <c r="A2" i="28"/>
  <c r="H5" i="27"/>
  <c r="G5" i="27"/>
  <c r="F5" i="27"/>
  <c r="E5" i="27"/>
  <c r="D5" i="27"/>
  <c r="C5" i="27"/>
  <c r="B5" i="27"/>
  <c r="A43" i="27"/>
  <c r="A42" i="27"/>
  <c r="A41" i="27"/>
  <c r="A40" i="27"/>
  <c r="A39" i="27"/>
  <c r="A38" i="27"/>
  <c r="A37" i="27"/>
  <c r="A36" i="27"/>
  <c r="A35" i="27"/>
  <c r="A34" i="27"/>
  <c r="A33" i="27"/>
  <c r="A32" i="27"/>
  <c r="A31" i="27"/>
  <c r="A30" i="27"/>
  <c r="A29" i="27"/>
  <c r="A28" i="27"/>
  <c r="A27" i="27"/>
  <c r="A25" i="27"/>
  <c r="A24" i="27"/>
  <c r="A23" i="27"/>
  <c r="A22" i="27"/>
  <c r="A21" i="27"/>
  <c r="A20" i="27"/>
  <c r="A19" i="27"/>
  <c r="A18" i="27"/>
  <c r="A17" i="27"/>
  <c r="A16" i="27"/>
  <c r="A15" i="27"/>
  <c r="A14" i="27"/>
  <c r="A13" i="27"/>
  <c r="A12" i="27"/>
  <c r="A11" i="27"/>
  <c r="A10" i="27"/>
  <c r="A9" i="27"/>
  <c r="A8" i="27"/>
  <c r="A7" i="27"/>
  <c r="A6" i="27"/>
  <c r="A3" i="27"/>
  <c r="A2" i="27"/>
  <c r="A20" i="26"/>
  <c r="A19" i="26"/>
  <c r="A18" i="26"/>
  <c r="A17" i="26"/>
  <c r="A16" i="26"/>
  <c r="A15" i="26"/>
  <c r="A14" i="26"/>
  <c r="A13" i="26"/>
  <c r="A12" i="26"/>
  <c r="A11" i="26"/>
  <c r="A10" i="26"/>
  <c r="A9" i="26"/>
  <c r="A8" i="26"/>
  <c r="A7" i="26"/>
  <c r="A6" i="26"/>
  <c r="D5" i="26"/>
  <c r="C5" i="26"/>
  <c r="B5" i="26"/>
  <c r="A2" i="26"/>
  <c r="H57" i="25"/>
  <c r="G57" i="25"/>
  <c r="F57" i="25"/>
  <c r="E57" i="25"/>
  <c r="D57" i="25"/>
  <c r="C57" i="25"/>
  <c r="B57" i="25"/>
  <c r="H5" i="25"/>
  <c r="G5" i="25"/>
  <c r="F5" i="25"/>
  <c r="E5" i="25"/>
  <c r="D5" i="25"/>
  <c r="C5" i="25"/>
  <c r="B5" i="25"/>
  <c r="A106" i="25"/>
  <c r="A105" i="25"/>
  <c r="A104" i="25"/>
  <c r="A103" i="25"/>
  <c r="A102" i="25"/>
  <c r="A101" i="25"/>
  <c r="A100" i="25"/>
  <c r="A98" i="25"/>
  <c r="A97" i="25"/>
  <c r="A96" i="25"/>
  <c r="A95" i="25"/>
  <c r="A94" i="25"/>
  <c r="A93" i="25"/>
  <c r="A92" i="25"/>
  <c r="A91" i="25"/>
  <c r="A90" i="25"/>
  <c r="A89" i="25"/>
  <c r="A88" i="25"/>
  <c r="A87" i="25"/>
  <c r="A86" i="25"/>
  <c r="A85" i="25"/>
  <c r="A84" i="25"/>
  <c r="A83" i="25"/>
  <c r="A82" i="25"/>
  <c r="A81" i="25"/>
  <c r="A80" i="25"/>
  <c r="A79" i="25"/>
  <c r="A77" i="25"/>
  <c r="A76" i="25"/>
  <c r="A75" i="25"/>
  <c r="A74" i="25"/>
  <c r="A73" i="25"/>
  <c r="A72" i="25"/>
  <c r="A71" i="25"/>
  <c r="A70" i="25"/>
  <c r="A69" i="25"/>
  <c r="A68" i="25"/>
  <c r="A67" i="25"/>
  <c r="A66" i="25"/>
  <c r="A65" i="25"/>
  <c r="A64" i="25"/>
  <c r="A63" i="25"/>
  <c r="A62" i="25"/>
  <c r="A61" i="25"/>
  <c r="A60" i="25"/>
  <c r="A59" i="25"/>
  <c r="A58"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5" i="25"/>
  <c r="A24" i="25"/>
  <c r="A23" i="25"/>
  <c r="A22" i="25"/>
  <c r="A21" i="25"/>
  <c r="A20" i="25"/>
  <c r="A19" i="25"/>
  <c r="A18" i="25"/>
  <c r="A17" i="25"/>
  <c r="A16" i="25"/>
  <c r="A15" i="25"/>
  <c r="A14" i="25"/>
  <c r="A13" i="25"/>
  <c r="A12" i="25"/>
  <c r="A11" i="25"/>
  <c r="A10" i="25"/>
  <c r="A9" i="25"/>
  <c r="A8" i="25"/>
  <c r="A7" i="25"/>
  <c r="A6" i="25"/>
  <c r="A3" i="25"/>
  <c r="A2" i="25"/>
  <c r="H56" i="24"/>
  <c r="G56" i="24"/>
  <c r="F56" i="24"/>
  <c r="E56" i="24"/>
  <c r="D56" i="24"/>
  <c r="C56" i="24"/>
  <c r="B56" i="24"/>
  <c r="H5" i="24"/>
  <c r="G5" i="24"/>
  <c r="F5" i="24"/>
  <c r="E5" i="24"/>
  <c r="D5" i="24"/>
  <c r="C5" i="24"/>
  <c r="B5" i="24"/>
  <c r="A105" i="24"/>
  <c r="A104" i="24"/>
  <c r="A103" i="24"/>
  <c r="A102" i="24"/>
  <c r="A101" i="24"/>
  <c r="A100" i="24"/>
  <c r="A99" i="24"/>
  <c r="A97" i="24"/>
  <c r="A96" i="24"/>
  <c r="A95" i="24"/>
  <c r="A94" i="24"/>
  <c r="A93" i="24"/>
  <c r="A92" i="24"/>
  <c r="A91" i="24"/>
  <c r="A90" i="24"/>
  <c r="A89" i="24"/>
  <c r="A88" i="24"/>
  <c r="A87" i="24"/>
  <c r="A86" i="24"/>
  <c r="A85" i="24"/>
  <c r="A84" i="24"/>
  <c r="A83" i="24"/>
  <c r="A82" i="24"/>
  <c r="A81" i="24"/>
  <c r="A80" i="24"/>
  <c r="A79" i="24"/>
  <c r="A77" i="24"/>
  <c r="A76" i="24"/>
  <c r="A75" i="24"/>
  <c r="A74" i="24"/>
  <c r="A73" i="24"/>
  <c r="A72" i="24"/>
  <c r="A71" i="24"/>
  <c r="A70" i="24"/>
  <c r="A69" i="24"/>
  <c r="A68" i="24"/>
  <c r="A67" i="24"/>
  <c r="A66" i="24"/>
  <c r="A65" i="24"/>
  <c r="A64" i="24"/>
  <c r="A63" i="24"/>
  <c r="A62" i="24"/>
  <c r="A61" i="24"/>
  <c r="A60" i="24"/>
  <c r="A59" i="24"/>
  <c r="A58" i="24"/>
  <c r="A57"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 i="24"/>
  <c r="A2" i="24"/>
  <c r="H56" i="23"/>
  <c r="G56" i="23"/>
  <c r="F56" i="23"/>
  <c r="E56" i="23"/>
  <c r="D56" i="23"/>
  <c r="C56" i="23"/>
  <c r="B56" i="23"/>
  <c r="H5" i="23"/>
  <c r="G5" i="23"/>
  <c r="F5" i="23"/>
  <c r="E5" i="23"/>
  <c r="D5" i="23"/>
  <c r="C5" i="23"/>
  <c r="B5" i="23"/>
  <c r="A105" i="23"/>
  <c r="A104" i="23"/>
  <c r="A103" i="23"/>
  <c r="A102" i="23"/>
  <c r="A101" i="23"/>
  <c r="A100" i="23"/>
  <c r="A99" i="23"/>
  <c r="A97" i="23"/>
  <c r="A96" i="23"/>
  <c r="A95" i="23"/>
  <c r="A93" i="23"/>
  <c r="A92" i="23"/>
  <c r="A91" i="23"/>
  <c r="A90" i="23"/>
  <c r="A89" i="23"/>
  <c r="A88" i="23"/>
  <c r="A87" i="23"/>
  <c r="A86" i="23"/>
  <c r="A85" i="23"/>
  <c r="A84" i="23"/>
  <c r="A83" i="23"/>
  <c r="A82" i="23"/>
  <c r="A81" i="23"/>
  <c r="A80" i="23"/>
  <c r="A79" i="23"/>
  <c r="A77" i="23"/>
  <c r="A76" i="23"/>
  <c r="A74" i="23"/>
  <c r="A73" i="23"/>
  <c r="A72" i="23"/>
  <c r="A71" i="23"/>
  <c r="A70" i="23"/>
  <c r="A69" i="23"/>
  <c r="A68" i="23"/>
  <c r="A67" i="23"/>
  <c r="A66" i="23"/>
  <c r="A65" i="23"/>
  <c r="A64" i="23"/>
  <c r="A63" i="23"/>
  <c r="A62" i="23"/>
  <c r="A61" i="23"/>
  <c r="A60" i="23"/>
  <c r="A59" i="23"/>
  <c r="A58" i="23"/>
  <c r="A57" i="23"/>
  <c r="A54" i="23"/>
  <c r="A53" i="23"/>
  <c r="A52" i="23"/>
  <c r="A51" i="23"/>
  <c r="A50" i="23"/>
  <c r="A49" i="23"/>
  <c r="A48" i="23"/>
  <c r="A47" i="23"/>
  <c r="A46" i="23"/>
  <c r="A45" i="23"/>
  <c r="A44" i="23"/>
  <c r="A43"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3" i="23"/>
  <c r="A2" i="23"/>
  <c r="H55" i="22"/>
  <c r="G55" i="22"/>
  <c r="F55" i="22"/>
  <c r="E55" i="22"/>
  <c r="D55" i="22"/>
  <c r="C55" i="22"/>
  <c r="B55" i="22"/>
  <c r="H5" i="22"/>
  <c r="G5" i="22"/>
  <c r="F5" i="22"/>
  <c r="E5" i="22"/>
  <c r="D5" i="22"/>
  <c r="C5" i="22"/>
  <c r="B5" i="22"/>
  <c r="A102" i="22"/>
  <c r="A101" i="22"/>
  <c r="A100" i="22"/>
  <c r="A99" i="22"/>
  <c r="A98" i="22"/>
  <c r="A97" i="22"/>
  <c r="A96" i="22"/>
  <c r="A94" i="22"/>
  <c r="A93" i="22"/>
  <c r="A92" i="22"/>
  <c r="A91" i="22"/>
  <c r="A90" i="22"/>
  <c r="A89" i="22"/>
  <c r="A88" i="22"/>
  <c r="A87" i="22"/>
  <c r="A86" i="22"/>
  <c r="A85" i="22"/>
  <c r="A84" i="22"/>
  <c r="A83" i="22"/>
  <c r="A82" i="22"/>
  <c r="A81" i="22"/>
  <c r="A80" i="22"/>
  <c r="A79" i="22"/>
  <c r="A78" i="22"/>
  <c r="A77" i="22"/>
  <c r="A75" i="22"/>
  <c r="A74" i="22"/>
  <c r="A73" i="22"/>
  <c r="A72" i="22"/>
  <c r="A71" i="22"/>
  <c r="A70" i="22"/>
  <c r="A69" i="22"/>
  <c r="A68" i="22"/>
  <c r="A67" i="22"/>
  <c r="A66" i="22"/>
  <c r="A65" i="22"/>
  <c r="A64" i="22"/>
  <c r="A63" i="22"/>
  <c r="A62" i="22"/>
  <c r="A61" i="22"/>
  <c r="A60" i="22"/>
  <c r="A59" i="22"/>
  <c r="A58" i="22"/>
  <c r="A57" i="22"/>
  <c r="A56"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5" i="22"/>
  <c r="A24" i="22"/>
  <c r="A23" i="22"/>
  <c r="A22" i="22"/>
  <c r="A21" i="22"/>
  <c r="A20" i="22"/>
  <c r="A19" i="22"/>
  <c r="A18" i="22"/>
  <c r="A17" i="22"/>
  <c r="A16" i="22"/>
  <c r="A15" i="22"/>
  <c r="A14" i="22"/>
  <c r="A13" i="22"/>
  <c r="A12" i="22"/>
  <c r="A11" i="22"/>
  <c r="A10" i="22"/>
  <c r="A9" i="22"/>
  <c r="A8" i="22"/>
  <c r="A7" i="22"/>
  <c r="A6" i="22"/>
  <c r="A3" i="22"/>
  <c r="A2" i="22"/>
  <c r="H55" i="21"/>
  <c r="G55" i="21"/>
  <c r="F55" i="21"/>
  <c r="E55" i="21"/>
  <c r="D55" i="21"/>
  <c r="C55" i="21"/>
  <c r="B55" i="21"/>
  <c r="H5" i="21"/>
  <c r="G5" i="21"/>
  <c r="F5" i="21"/>
  <c r="E5" i="21"/>
  <c r="D5" i="21"/>
  <c r="C5" i="21"/>
  <c r="B5" i="21"/>
  <c r="A103" i="21"/>
  <c r="A102" i="21"/>
  <c r="A101" i="21"/>
  <c r="A100" i="21"/>
  <c r="A99" i="21"/>
  <c r="A98" i="21"/>
  <c r="A97" i="21"/>
  <c r="A95" i="21"/>
  <c r="A94" i="21"/>
  <c r="A93" i="21"/>
  <c r="A92" i="21"/>
  <c r="A91" i="21"/>
  <c r="A90" i="21"/>
  <c r="A89" i="21"/>
  <c r="A88" i="21"/>
  <c r="A87" i="21"/>
  <c r="A86" i="21"/>
  <c r="A85" i="21"/>
  <c r="A84" i="21"/>
  <c r="A83" i="21"/>
  <c r="A82" i="21"/>
  <c r="A81" i="21"/>
  <c r="A80" i="21"/>
  <c r="A79" i="21"/>
  <c r="A78" i="21"/>
  <c r="A76" i="21"/>
  <c r="A75" i="21"/>
  <c r="A73" i="21"/>
  <c r="A72" i="21"/>
  <c r="A71" i="21"/>
  <c r="A70" i="21"/>
  <c r="A69" i="21"/>
  <c r="A68" i="21"/>
  <c r="A67" i="21"/>
  <c r="A66" i="21"/>
  <c r="A65" i="21"/>
  <c r="A64" i="21"/>
  <c r="A63" i="21"/>
  <c r="A62" i="21"/>
  <c r="A61" i="21"/>
  <c r="A60" i="21"/>
  <c r="A59" i="21"/>
  <c r="A58" i="21"/>
  <c r="A57" i="21"/>
  <c r="A56"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5" i="21"/>
  <c r="A24" i="21"/>
  <c r="A23" i="21"/>
  <c r="A22" i="21"/>
  <c r="A21" i="21"/>
  <c r="A20" i="21"/>
  <c r="A19" i="21"/>
  <c r="A18" i="21"/>
  <c r="A17" i="21"/>
  <c r="A16" i="21"/>
  <c r="A15" i="21"/>
  <c r="A14" i="21"/>
  <c r="A13" i="21"/>
  <c r="A12" i="21"/>
  <c r="A11" i="21"/>
  <c r="A10" i="21"/>
  <c r="A9" i="21"/>
  <c r="A8" i="21"/>
  <c r="A7" i="21"/>
  <c r="A6" i="21"/>
  <c r="A3" i="21"/>
  <c r="A2" i="21"/>
  <c r="H55" i="20"/>
  <c r="G55" i="20"/>
  <c r="F55" i="20"/>
  <c r="E55" i="20"/>
  <c r="D55" i="20"/>
  <c r="C55" i="20"/>
  <c r="B55" i="20"/>
  <c r="H5" i="20"/>
  <c r="G5" i="20"/>
  <c r="F5" i="20"/>
  <c r="E5" i="20"/>
  <c r="D5" i="20"/>
  <c r="C5" i="20"/>
  <c r="B5" i="20"/>
  <c r="A103" i="20"/>
  <c r="A102" i="20"/>
  <c r="A101" i="20"/>
  <c r="A100" i="20"/>
  <c r="A99" i="20"/>
  <c r="A98" i="20"/>
  <c r="A97" i="20"/>
  <c r="A95" i="20"/>
  <c r="A94" i="20"/>
  <c r="A93" i="20"/>
  <c r="A92" i="20"/>
  <c r="A91" i="20"/>
  <c r="A90" i="20"/>
  <c r="A89" i="20"/>
  <c r="A88" i="20"/>
  <c r="A87" i="20"/>
  <c r="A86" i="20"/>
  <c r="A85" i="20"/>
  <c r="A84" i="20"/>
  <c r="A83" i="20"/>
  <c r="A82" i="20"/>
  <c r="A81" i="20"/>
  <c r="A80" i="20"/>
  <c r="A79" i="20"/>
  <c r="A78" i="20"/>
  <c r="A76" i="20"/>
  <c r="A75" i="20"/>
  <c r="A73" i="20"/>
  <c r="A72" i="20"/>
  <c r="A71" i="20"/>
  <c r="A70" i="20"/>
  <c r="A69" i="20"/>
  <c r="A68" i="20"/>
  <c r="A67" i="20"/>
  <c r="A66" i="20"/>
  <c r="A65" i="20"/>
  <c r="A64" i="20"/>
  <c r="A63" i="20"/>
  <c r="A62" i="20"/>
  <c r="A61" i="20"/>
  <c r="A60" i="20"/>
  <c r="A59" i="20"/>
  <c r="A58" i="20"/>
  <c r="A57" i="20"/>
  <c r="A56"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5" i="20"/>
  <c r="A24" i="20"/>
  <c r="A23" i="20"/>
  <c r="A22" i="20"/>
  <c r="A21" i="20"/>
  <c r="A20" i="20"/>
  <c r="A19" i="20"/>
  <c r="A18" i="20"/>
  <c r="A17" i="20"/>
  <c r="A16" i="20"/>
  <c r="A15" i="20"/>
  <c r="A14" i="20"/>
  <c r="A13" i="20"/>
  <c r="A12" i="20"/>
  <c r="A11" i="20"/>
  <c r="A10" i="20"/>
  <c r="A9" i="20"/>
  <c r="A8" i="20"/>
  <c r="A7" i="20"/>
  <c r="A6" i="20"/>
  <c r="A3" i="20"/>
  <c r="A2" i="20"/>
  <c r="H55" i="19"/>
  <c r="G55" i="19"/>
  <c r="F55" i="19"/>
  <c r="E55" i="19"/>
  <c r="D55" i="19"/>
  <c r="C55" i="19"/>
  <c r="B55" i="19"/>
  <c r="H5" i="19"/>
  <c r="G5" i="19"/>
  <c r="F5" i="19"/>
  <c r="E5" i="19"/>
  <c r="D5" i="19"/>
  <c r="C5" i="19"/>
  <c r="B5" i="19"/>
  <c r="A103" i="19"/>
  <c r="A102" i="19"/>
  <c r="A101" i="19"/>
  <c r="A100" i="19"/>
  <c r="A99" i="19"/>
  <c r="A98" i="19"/>
  <c r="A97" i="19"/>
  <c r="A95" i="19"/>
  <c r="A94" i="19"/>
  <c r="A93" i="19"/>
  <c r="A92" i="19"/>
  <c r="A91" i="19"/>
  <c r="A90" i="19"/>
  <c r="A89" i="19"/>
  <c r="A88" i="19"/>
  <c r="A87" i="19"/>
  <c r="A86" i="19"/>
  <c r="A85" i="19"/>
  <c r="A84" i="19"/>
  <c r="A83" i="19"/>
  <c r="A82" i="19"/>
  <c r="A81" i="19"/>
  <c r="A80" i="19"/>
  <c r="A79" i="19"/>
  <c r="A78" i="19"/>
  <c r="A76" i="19"/>
  <c r="A75" i="19"/>
  <c r="A73" i="19"/>
  <c r="A72" i="19"/>
  <c r="A71" i="19"/>
  <c r="A70" i="19"/>
  <c r="A69" i="19"/>
  <c r="A68" i="19"/>
  <c r="A67" i="19"/>
  <c r="A66" i="19"/>
  <c r="A65" i="19"/>
  <c r="A64" i="19"/>
  <c r="A63" i="19"/>
  <c r="A62" i="19"/>
  <c r="A61" i="19"/>
  <c r="A60" i="19"/>
  <c r="A59" i="19"/>
  <c r="A58" i="19"/>
  <c r="A57" i="19"/>
  <c r="A56"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5" i="19"/>
  <c r="A24" i="19"/>
  <c r="A23" i="19"/>
  <c r="A22" i="19"/>
  <c r="A21" i="19"/>
  <c r="A20" i="19"/>
  <c r="A19" i="19"/>
  <c r="A18" i="19"/>
  <c r="A17" i="19"/>
  <c r="A16" i="19"/>
  <c r="A15" i="19"/>
  <c r="A14" i="19"/>
  <c r="A13" i="19"/>
  <c r="A12" i="19"/>
  <c r="A11" i="19"/>
  <c r="A10" i="19"/>
  <c r="A9" i="19"/>
  <c r="A8" i="19"/>
  <c r="A7" i="19"/>
  <c r="A6" i="19"/>
  <c r="A3" i="19"/>
  <c r="A2" i="19"/>
  <c r="H55" i="18"/>
  <c r="G55" i="18"/>
  <c r="F55" i="18"/>
  <c r="E55" i="18"/>
  <c r="D55" i="18"/>
  <c r="C55" i="18"/>
  <c r="B55" i="18"/>
  <c r="H5" i="18"/>
  <c r="G5" i="18"/>
  <c r="F5" i="18"/>
  <c r="E5" i="18"/>
  <c r="D5" i="18"/>
  <c r="C5" i="18"/>
  <c r="B5" i="18"/>
  <c r="A103" i="18"/>
  <c r="A102" i="18"/>
  <c r="A101" i="18"/>
  <c r="A100" i="18"/>
  <c r="A99" i="18"/>
  <c r="A98" i="18"/>
  <c r="A97" i="18"/>
  <c r="A95" i="18"/>
  <c r="A94" i="18"/>
  <c r="A93" i="18"/>
  <c r="A92" i="18"/>
  <c r="A91" i="18"/>
  <c r="A90" i="18"/>
  <c r="A89" i="18"/>
  <c r="A88" i="18"/>
  <c r="A87" i="18"/>
  <c r="A86" i="18"/>
  <c r="A85" i="18"/>
  <c r="A84" i="18"/>
  <c r="A83" i="18"/>
  <c r="A82" i="18"/>
  <c r="A81" i="18"/>
  <c r="A80" i="18"/>
  <c r="A79" i="18"/>
  <c r="A78" i="18"/>
  <c r="A76" i="18"/>
  <c r="A75" i="18"/>
  <c r="A73" i="18"/>
  <c r="A72" i="18"/>
  <c r="A71" i="18"/>
  <c r="A70" i="18"/>
  <c r="A69" i="18"/>
  <c r="A68" i="18"/>
  <c r="A67" i="18"/>
  <c r="A66" i="18"/>
  <c r="A65" i="18"/>
  <c r="A64" i="18"/>
  <c r="A63" i="18"/>
  <c r="A62" i="18"/>
  <c r="A61" i="18"/>
  <c r="A60" i="18"/>
  <c r="A59" i="18"/>
  <c r="A58" i="18"/>
  <c r="A57" i="18"/>
  <c r="A56"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5" i="18"/>
  <c r="A24" i="18"/>
  <c r="A23" i="18"/>
  <c r="A22" i="18"/>
  <c r="A21" i="18"/>
  <c r="A20" i="18"/>
  <c r="A19" i="18"/>
  <c r="A18" i="18"/>
  <c r="A17" i="18"/>
  <c r="A16" i="18"/>
  <c r="A15" i="18"/>
  <c r="A14" i="18"/>
  <c r="A13" i="18"/>
  <c r="A12" i="18"/>
  <c r="A11" i="18"/>
  <c r="A10" i="18"/>
  <c r="A9" i="18"/>
  <c r="A8" i="18"/>
  <c r="A7" i="18"/>
  <c r="A6" i="18"/>
  <c r="A3" i="18"/>
  <c r="A2" i="18"/>
  <c r="H55" i="17"/>
  <c r="G55" i="17"/>
  <c r="F55" i="17"/>
  <c r="E55" i="17"/>
  <c r="D55" i="17"/>
  <c r="C55" i="17"/>
  <c r="B55" i="17"/>
  <c r="H5" i="17"/>
  <c r="G5" i="17"/>
  <c r="F5" i="17"/>
  <c r="E5" i="17"/>
  <c r="D5" i="17"/>
  <c r="C5" i="17"/>
  <c r="B5" i="17"/>
  <c r="A103" i="17"/>
  <c r="A102" i="17"/>
  <c r="A101" i="17"/>
  <c r="A100" i="17"/>
  <c r="A99" i="17"/>
  <c r="A98" i="17"/>
  <c r="A97" i="17"/>
  <c r="A95" i="17"/>
  <c r="A94" i="17"/>
  <c r="A93" i="17"/>
  <c r="A92" i="17"/>
  <c r="A91" i="17"/>
  <c r="A90" i="17"/>
  <c r="A89" i="17"/>
  <c r="A88" i="17"/>
  <c r="A87" i="17"/>
  <c r="A86" i="17"/>
  <c r="A85" i="17"/>
  <c r="A84" i="17"/>
  <c r="A83" i="17"/>
  <c r="A82" i="17"/>
  <c r="A81" i="17"/>
  <c r="A80" i="17"/>
  <c r="A79" i="17"/>
  <c r="A78" i="17"/>
  <c r="A76" i="17"/>
  <c r="A75" i="17"/>
  <c r="A73" i="17"/>
  <c r="A72" i="17"/>
  <c r="A71" i="17"/>
  <c r="A70" i="17"/>
  <c r="A69" i="17"/>
  <c r="A68" i="17"/>
  <c r="A67" i="17"/>
  <c r="A66" i="17"/>
  <c r="A65" i="17"/>
  <c r="A64" i="17"/>
  <c r="A63" i="17"/>
  <c r="A62" i="17"/>
  <c r="A61" i="17"/>
  <c r="A60" i="17"/>
  <c r="A59" i="17"/>
  <c r="A58" i="17"/>
  <c r="A57" i="17"/>
  <c r="A56"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5" i="17"/>
  <c r="A24" i="17"/>
  <c r="A23" i="17"/>
  <c r="A22" i="17"/>
  <c r="A21" i="17"/>
  <c r="A20" i="17"/>
  <c r="A19" i="17"/>
  <c r="A18" i="17"/>
  <c r="A17" i="17"/>
  <c r="A16" i="17"/>
  <c r="A15" i="17"/>
  <c r="A14" i="17"/>
  <c r="A13" i="17"/>
  <c r="A12" i="17"/>
  <c r="A11" i="17"/>
  <c r="A10" i="17"/>
  <c r="A9" i="17"/>
  <c r="A8" i="17"/>
  <c r="A7" i="17"/>
  <c r="A6" i="17"/>
  <c r="A3" i="17"/>
  <c r="A2" i="17"/>
  <c r="H55" i="16"/>
  <c r="G55" i="16"/>
  <c r="F55" i="16"/>
  <c r="E55" i="16"/>
  <c r="D55" i="16"/>
  <c r="C55" i="16"/>
  <c r="B55" i="16"/>
  <c r="H5" i="16"/>
  <c r="G5" i="16"/>
  <c r="F5" i="16"/>
  <c r="E5" i="16"/>
  <c r="D5" i="16"/>
  <c r="C5" i="16"/>
  <c r="B5" i="16"/>
  <c r="A103" i="16"/>
  <c r="A102" i="16"/>
  <c r="A101" i="16"/>
  <c r="A100" i="16"/>
  <c r="A99" i="16"/>
  <c r="A98" i="16"/>
  <c r="A97" i="16"/>
  <c r="A95" i="16"/>
  <c r="A94" i="16"/>
  <c r="A93" i="16"/>
  <c r="A92" i="16"/>
  <c r="A91" i="16"/>
  <c r="A90" i="16"/>
  <c r="A89" i="16"/>
  <c r="A88" i="16"/>
  <c r="A87" i="16"/>
  <c r="A86" i="16"/>
  <c r="A85" i="16"/>
  <c r="A84" i="16"/>
  <c r="A83" i="16"/>
  <c r="A82" i="16"/>
  <c r="A81" i="16"/>
  <c r="A80" i="16"/>
  <c r="A79" i="16"/>
  <c r="A78" i="16"/>
  <c r="A76" i="16"/>
  <c r="A75" i="16"/>
  <c r="A73" i="16"/>
  <c r="A72" i="16"/>
  <c r="A71" i="16"/>
  <c r="A70" i="16"/>
  <c r="A69" i="16"/>
  <c r="A68" i="16"/>
  <c r="A67" i="16"/>
  <c r="A66" i="16"/>
  <c r="A65" i="16"/>
  <c r="A64" i="16"/>
  <c r="A63" i="16"/>
  <c r="A62" i="16"/>
  <c r="A61" i="16"/>
  <c r="A60" i="16"/>
  <c r="A59" i="16"/>
  <c r="A58" i="16"/>
  <c r="A57" i="16"/>
  <c r="A56"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5" i="16"/>
  <c r="A24" i="16"/>
  <c r="A23" i="16"/>
  <c r="A22" i="16"/>
  <c r="A21" i="16"/>
  <c r="A20" i="16"/>
  <c r="A19" i="16"/>
  <c r="A18" i="16"/>
  <c r="A17" i="16"/>
  <c r="A16" i="16"/>
  <c r="A15" i="16"/>
  <c r="A14" i="16"/>
  <c r="A13" i="16"/>
  <c r="A12" i="16"/>
  <c r="A11" i="16"/>
  <c r="A10" i="16"/>
  <c r="A9" i="16"/>
  <c r="A8" i="16"/>
  <c r="A7" i="16"/>
  <c r="A6" i="16"/>
  <c r="A3" i="16"/>
  <c r="A2" i="16"/>
  <c r="H55" i="15"/>
  <c r="G55" i="15"/>
  <c r="F55" i="15"/>
  <c r="E55" i="15"/>
  <c r="D55" i="15"/>
  <c r="C55" i="15"/>
  <c r="B55" i="15"/>
  <c r="H5" i="15"/>
  <c r="G5" i="15"/>
  <c r="F5" i="15"/>
  <c r="E5" i="15"/>
  <c r="D5" i="15"/>
  <c r="C5" i="15"/>
  <c r="B5" i="15"/>
  <c r="A103" i="15"/>
  <c r="A102" i="15"/>
  <c r="A101" i="15"/>
  <c r="A100" i="15"/>
  <c r="A99" i="15"/>
  <c r="A98" i="15"/>
  <c r="A97" i="15"/>
  <c r="A95" i="15"/>
  <c r="A94" i="15"/>
  <c r="A93" i="15"/>
  <c r="A92" i="15"/>
  <c r="A91" i="15"/>
  <c r="A90" i="15"/>
  <c r="A89" i="15"/>
  <c r="A88" i="15"/>
  <c r="A87" i="15"/>
  <c r="A86" i="15"/>
  <c r="A85" i="15"/>
  <c r="A84" i="15"/>
  <c r="A83" i="15"/>
  <c r="A82" i="15"/>
  <c r="A81" i="15"/>
  <c r="A80" i="15"/>
  <c r="A79" i="15"/>
  <c r="A78" i="15"/>
  <c r="A76" i="15"/>
  <c r="A75" i="15"/>
  <c r="A73" i="15"/>
  <c r="A72" i="15"/>
  <c r="A71" i="15"/>
  <c r="A70" i="15"/>
  <c r="A69" i="15"/>
  <c r="A68" i="15"/>
  <c r="A67" i="15"/>
  <c r="A66" i="15"/>
  <c r="A65" i="15"/>
  <c r="A64" i="15"/>
  <c r="A63" i="15"/>
  <c r="A62" i="15"/>
  <c r="A61" i="15"/>
  <c r="A60" i="15"/>
  <c r="A59" i="15"/>
  <c r="A58" i="15"/>
  <c r="A57" i="15"/>
  <c r="A56"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5" i="15"/>
  <c r="A24" i="15"/>
  <c r="A23" i="15"/>
  <c r="A22" i="15"/>
  <c r="A21" i="15"/>
  <c r="A20" i="15"/>
  <c r="A19" i="15"/>
  <c r="A18" i="15"/>
  <c r="A17" i="15"/>
  <c r="A16" i="15"/>
  <c r="A15" i="15"/>
  <c r="A14" i="15"/>
  <c r="A13" i="15"/>
  <c r="A12" i="15"/>
  <c r="A11" i="15"/>
  <c r="A10" i="15"/>
  <c r="A9" i="15"/>
  <c r="A8" i="15"/>
  <c r="A7" i="15"/>
  <c r="A6" i="15"/>
  <c r="A3" i="15"/>
  <c r="A2" i="15"/>
  <c r="H5" i="14"/>
  <c r="G5" i="14"/>
  <c r="F5" i="14"/>
  <c r="E5" i="14"/>
  <c r="D5" i="14"/>
  <c r="C5" i="14"/>
  <c r="B5"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5" i="14"/>
  <c r="A24" i="14"/>
  <c r="A23" i="14"/>
  <c r="A22" i="14"/>
  <c r="A21" i="14"/>
  <c r="A20" i="14"/>
  <c r="A19" i="14"/>
  <c r="A18" i="14"/>
  <c r="A17" i="14"/>
  <c r="A16" i="14"/>
  <c r="A15" i="14"/>
  <c r="A14" i="14"/>
  <c r="A13" i="14"/>
  <c r="A12" i="14"/>
  <c r="A11" i="14"/>
  <c r="A10" i="14"/>
  <c r="A9" i="14"/>
  <c r="A8" i="14"/>
  <c r="A7" i="14"/>
  <c r="A6" i="14"/>
  <c r="A3" i="14"/>
  <c r="A2" i="14"/>
  <c r="A52" i="13"/>
  <c r="A51" i="13"/>
  <c r="A50" i="13"/>
  <c r="A49" i="13"/>
  <c r="A48" i="13"/>
  <c r="A47" i="13"/>
  <c r="A46" i="13"/>
  <c r="A45" i="13"/>
  <c r="A44" i="13"/>
  <c r="A43" i="13"/>
  <c r="A42" i="13"/>
  <c r="A41" i="13"/>
  <c r="A40" i="13"/>
  <c r="A39" i="13"/>
  <c r="A38" i="13"/>
  <c r="A37" i="13"/>
  <c r="A36" i="13"/>
  <c r="A35" i="13"/>
  <c r="A32" i="13"/>
  <c r="A31" i="13"/>
  <c r="A28" i="13"/>
  <c r="A27" i="13"/>
  <c r="A26" i="13"/>
  <c r="A24" i="13"/>
  <c r="A23" i="13"/>
  <c r="A22" i="13"/>
  <c r="A21" i="13"/>
  <c r="A20" i="13"/>
  <c r="A19" i="13"/>
  <c r="A18" i="13"/>
  <c r="A17" i="13"/>
  <c r="A16" i="13"/>
  <c r="A15" i="13"/>
  <c r="A14" i="13"/>
  <c r="A13" i="13"/>
  <c r="A12" i="13"/>
  <c r="A11" i="13"/>
  <c r="A10" i="13"/>
  <c r="A9" i="13"/>
  <c r="H8" i="13"/>
  <c r="G8" i="13"/>
  <c r="F8" i="13"/>
  <c r="E8" i="13"/>
  <c r="D8" i="13"/>
  <c r="C8" i="13"/>
  <c r="B8" i="13"/>
  <c r="A5" i="13"/>
  <c r="A4" i="13"/>
  <c r="H34" i="12"/>
  <c r="G34" i="12"/>
  <c r="F34" i="12"/>
  <c r="E34" i="12"/>
  <c r="D34" i="12"/>
  <c r="C34" i="12"/>
  <c r="B34" i="12"/>
  <c r="H4" i="12"/>
  <c r="G4" i="12"/>
  <c r="F4" i="12"/>
  <c r="E4" i="12"/>
  <c r="D4" i="12"/>
  <c r="C4" i="12"/>
  <c r="B4" i="12"/>
  <c r="A61" i="12"/>
  <c r="A60" i="12"/>
  <c r="A58" i="12"/>
  <c r="A57" i="12"/>
  <c r="A56" i="12"/>
  <c r="A55" i="12"/>
  <c r="A54" i="12"/>
  <c r="A53" i="12"/>
  <c r="A52" i="12"/>
  <c r="A51" i="12"/>
  <c r="A50" i="12"/>
  <c r="A49" i="12"/>
  <c r="A48" i="12"/>
  <c r="A47" i="12"/>
  <c r="A46" i="12"/>
  <c r="A45" i="12"/>
  <c r="A44" i="12"/>
  <c r="A43" i="12"/>
  <c r="A42" i="12"/>
  <c r="A41" i="12"/>
  <c r="A40" i="12"/>
  <c r="A39" i="12"/>
  <c r="A38" i="12"/>
  <c r="A37" i="12"/>
  <c r="A36" i="12"/>
  <c r="A35"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2" i="12"/>
  <c r="H57" i="11"/>
  <c r="G57" i="11"/>
  <c r="F57" i="11"/>
  <c r="E57" i="11"/>
  <c r="D57" i="11"/>
  <c r="C57" i="11"/>
  <c r="B57" i="11"/>
  <c r="H5" i="11"/>
  <c r="G5" i="11"/>
  <c r="F5" i="11"/>
  <c r="E5" i="11"/>
  <c r="D5" i="11"/>
  <c r="C5" i="11"/>
  <c r="B5" i="11"/>
  <c r="A106" i="11"/>
  <c r="A105" i="11"/>
  <c r="A104" i="11"/>
  <c r="A103" i="11"/>
  <c r="A102" i="11"/>
  <c r="A101" i="11"/>
  <c r="A100" i="11"/>
  <c r="A98" i="11"/>
  <c r="A97" i="11"/>
  <c r="A96" i="11"/>
  <c r="A95" i="11"/>
  <c r="A94" i="11"/>
  <c r="A93" i="11"/>
  <c r="A92" i="11"/>
  <c r="A91" i="11"/>
  <c r="A90" i="11"/>
  <c r="A89" i="11"/>
  <c r="A88" i="11"/>
  <c r="A87" i="11"/>
  <c r="A86" i="11"/>
  <c r="A85" i="11"/>
  <c r="A84" i="11"/>
  <c r="A83" i="11"/>
  <c r="A82" i="11"/>
  <c r="A81" i="11"/>
  <c r="A80" i="11"/>
  <c r="A79" i="11"/>
  <c r="A77" i="11"/>
  <c r="A76" i="11"/>
  <c r="A75" i="11"/>
  <c r="A74" i="11"/>
  <c r="A73" i="11"/>
  <c r="A72" i="11"/>
  <c r="A71" i="11"/>
  <c r="A70" i="11"/>
  <c r="A69" i="11"/>
  <c r="A68" i="11"/>
  <c r="A67" i="11"/>
  <c r="A66" i="11"/>
  <c r="A65" i="11"/>
  <c r="A64" i="11"/>
  <c r="A63" i="11"/>
  <c r="A62" i="11"/>
  <c r="A61" i="11"/>
  <c r="A60" i="11"/>
  <c r="A59" i="11"/>
  <c r="A58"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5" i="11"/>
  <c r="A24" i="11"/>
  <c r="A23" i="11"/>
  <c r="A22" i="11"/>
  <c r="A21" i="11"/>
  <c r="A20" i="11"/>
  <c r="A19" i="11"/>
  <c r="A18" i="11"/>
  <c r="A17" i="11"/>
  <c r="A16" i="11"/>
  <c r="A15" i="11"/>
  <c r="A14" i="11"/>
  <c r="A13" i="11"/>
  <c r="A12" i="11"/>
  <c r="A11" i="11"/>
  <c r="A10" i="11"/>
  <c r="A9" i="11"/>
  <c r="A8" i="11"/>
  <c r="A7" i="11"/>
  <c r="A6" i="11"/>
  <c r="A3" i="11"/>
  <c r="A2" i="11"/>
  <c r="A20" i="10"/>
  <c r="A17" i="10"/>
  <c r="A15" i="10"/>
  <c r="A13" i="10"/>
  <c r="A11" i="10"/>
  <c r="A9" i="10"/>
  <c r="A7" i="10"/>
  <c r="A5" i="10"/>
  <c r="A53" i="9"/>
  <c r="A51" i="9"/>
  <c r="A47" i="9"/>
  <c r="A45" i="9"/>
  <c r="A43" i="9"/>
  <c r="A39" i="9"/>
  <c r="A36" i="9"/>
  <c r="A34" i="9"/>
  <c r="A32" i="9"/>
  <c r="A28" i="9"/>
  <c r="A26" i="9"/>
  <c r="A24" i="9"/>
  <c r="A20" i="9"/>
  <c r="A17" i="9"/>
  <c r="A15" i="9"/>
  <c r="A13" i="9"/>
  <c r="A9" i="9"/>
  <c r="A7" i="9"/>
  <c r="A5" i="9"/>
  <c r="A52" i="8"/>
  <c r="A51" i="8"/>
  <c r="A50" i="8"/>
  <c r="A49" i="8"/>
  <c r="A48" i="8"/>
  <c r="A47" i="8"/>
  <c r="A46" i="8"/>
  <c r="A45" i="8"/>
  <c r="A44" i="8"/>
  <c r="A43" i="8"/>
  <c r="A42" i="8"/>
  <c r="A41" i="8"/>
  <c r="A40" i="8"/>
  <c r="A39" i="8"/>
  <c r="A37" i="8"/>
  <c r="A36" i="8"/>
  <c r="A35" i="8"/>
  <c r="A34" i="8"/>
  <c r="A33" i="8"/>
  <c r="A32" i="8"/>
  <c r="A31" i="8"/>
  <c r="A30" i="8"/>
  <c r="A29" i="8"/>
  <c r="A28" i="8"/>
  <c r="A27" i="8"/>
  <c r="A26" i="8"/>
  <c r="A25" i="8"/>
  <c r="A24" i="8"/>
  <c r="A23" i="8"/>
  <c r="A22" i="8"/>
  <c r="A21" i="8"/>
  <c r="A19" i="8"/>
  <c r="A18" i="8"/>
  <c r="A17" i="8"/>
  <c r="A16" i="8"/>
  <c r="A15" i="8"/>
  <c r="A14" i="8"/>
  <c r="A13" i="8"/>
  <c r="A12" i="8"/>
  <c r="A11" i="8"/>
  <c r="A10" i="8"/>
  <c r="A9" i="8"/>
  <c r="A8" i="8"/>
  <c r="A7" i="8"/>
  <c r="A6" i="8"/>
  <c r="A5" i="8"/>
  <c r="A4" i="8"/>
  <c r="A3" i="8"/>
  <c r="A17" i="7"/>
  <c r="A16" i="7"/>
  <c r="A13" i="7"/>
  <c r="A12" i="7"/>
  <c r="A11" i="7"/>
  <c r="A10" i="7"/>
  <c r="A9" i="7"/>
  <c r="A8" i="7"/>
  <c r="A7" i="7"/>
  <c r="A6" i="7"/>
  <c r="A2" i="7"/>
  <c r="F3" i="7"/>
  <c r="C3" i="7"/>
  <c r="A22" i="6"/>
  <c r="A21" i="6"/>
  <c r="A20" i="6"/>
  <c r="A19" i="6"/>
  <c r="A18" i="6"/>
  <c r="A17" i="6"/>
  <c r="A16" i="6"/>
  <c r="A15" i="6"/>
  <c r="A14" i="6"/>
  <c r="A13" i="6"/>
  <c r="A12" i="6"/>
  <c r="A11" i="6"/>
  <c r="A10" i="6"/>
  <c r="A9" i="6"/>
  <c r="A8" i="6"/>
  <c r="A7" i="6"/>
  <c r="A6" i="6"/>
  <c r="O5" i="6"/>
  <c r="N5" i="6"/>
  <c r="M5" i="6"/>
  <c r="L5" i="6"/>
  <c r="K5" i="6"/>
  <c r="J5" i="6"/>
  <c r="I5" i="6"/>
  <c r="H5" i="6"/>
  <c r="G5" i="6"/>
  <c r="F5" i="6"/>
  <c r="E5" i="6"/>
  <c r="D5" i="6"/>
  <c r="C5" i="6"/>
  <c r="B5" i="6"/>
  <c r="N4" i="6"/>
  <c r="L4" i="6"/>
  <c r="J4" i="6"/>
  <c r="H4" i="6"/>
  <c r="F4" i="6"/>
  <c r="D4" i="6"/>
  <c r="B4" i="6"/>
  <c r="A1" i="30"/>
  <c r="A1" i="29"/>
  <c r="A1" i="28"/>
  <c r="A1" i="27"/>
  <c r="A1" i="26"/>
  <c r="A1" i="25"/>
  <c r="A1" i="24"/>
  <c r="A1" i="23"/>
  <c r="A1" i="22"/>
  <c r="A1" i="21"/>
  <c r="A1" i="20"/>
  <c r="A1" i="19"/>
  <c r="A1" i="18"/>
  <c r="A1" i="17"/>
  <c r="A1" i="16"/>
  <c r="A1" i="15"/>
  <c r="A1" i="14"/>
  <c r="A1" i="13"/>
  <c r="A1" i="12"/>
  <c r="A1" i="11"/>
  <c r="A1" i="10"/>
  <c r="A1" i="9"/>
  <c r="A1" i="8"/>
  <c r="A1" i="7"/>
  <c r="A1" i="6"/>
  <c r="B300" i="5"/>
  <c r="B301" i="5" s="1"/>
  <c r="B295" i="5"/>
  <c r="B296" i="5" s="1"/>
  <c r="B294" i="5"/>
  <c r="B270" i="5"/>
  <c r="B170" i="5"/>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169" i="5"/>
  <c r="B5" i="5"/>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F34" i="4"/>
  <c r="F33" i="4"/>
  <c r="C33" i="4"/>
  <c r="F32" i="4"/>
  <c r="C32" i="4"/>
  <c r="F31" i="4"/>
  <c r="C31" i="4"/>
  <c r="F30" i="4"/>
  <c r="C30" i="4"/>
  <c r="C29" i="4"/>
  <c r="F28" i="4"/>
  <c r="F27" i="4"/>
  <c r="C27" i="4"/>
  <c r="F26" i="4"/>
  <c r="C26" i="4"/>
  <c r="C25" i="4"/>
  <c r="F23" i="4"/>
  <c r="C23" i="4"/>
  <c r="F22" i="4"/>
  <c r="C22" i="4"/>
  <c r="F21" i="4"/>
  <c r="C21" i="4"/>
  <c r="F20" i="4"/>
  <c r="C20" i="4"/>
  <c r="F19" i="4"/>
  <c r="C19" i="4"/>
  <c r="F18" i="4"/>
  <c r="C18" i="4"/>
  <c r="F17" i="4"/>
  <c r="C17" i="4"/>
  <c r="F16" i="4"/>
  <c r="C16" i="4"/>
  <c r="F15" i="4"/>
  <c r="C15" i="4"/>
  <c r="F14" i="4"/>
  <c r="F13" i="4"/>
  <c r="C13" i="4"/>
  <c r="F12" i="4"/>
  <c r="C12" i="4"/>
  <c r="F11" i="4"/>
  <c r="C11" i="4"/>
  <c r="F10" i="4"/>
  <c r="C10" i="4"/>
  <c r="F9" i="4"/>
  <c r="C9" i="4"/>
  <c r="C8" i="4"/>
  <c r="F6" i="4"/>
  <c r="C6" i="4"/>
  <c r="F5" i="4"/>
  <c r="C5" i="4"/>
  <c r="D4" i="4"/>
  <c r="C4" i="4"/>
  <c r="C2" i="4"/>
</calcChain>
</file>

<file path=xl/ctrlProps/ctrlProp1.xml><?xml version="1.0" encoding="utf-8"?>
<formControlPr xmlns="http://schemas.microsoft.com/office/spreadsheetml/2009/9/main" objectType="Radio" checked="Checked" firstButton="1" fmlaLink="$F$2" lockText="1" noThreeD="1"/>
</file>

<file path=xl/ctrlProps/ctrlProp10.xml><?xml version="1.0" encoding="utf-8"?>
<formControlPr xmlns="http://schemas.microsoft.com/office/spreadsheetml/2009/9/main" objectType="CheckBox" fmlaLink="$E$23" lockText="1" noThreeD="1"/>
</file>

<file path=xl/ctrlProps/ctrlProp11.xml><?xml version="1.0" encoding="utf-8"?>
<formControlPr xmlns="http://schemas.microsoft.com/office/spreadsheetml/2009/9/main" objectType="CheckBox" fmlaLink="$E$16" lockText="1" noThreeD="1"/>
</file>

<file path=xl/ctrlProps/ctrlProp12.xml><?xml version="1.0" encoding="utf-8"?>
<formControlPr xmlns="http://schemas.microsoft.com/office/spreadsheetml/2009/9/main" objectType="CheckBox" fmlaLink="$E$18" lockText="1" noThreeD="1"/>
</file>

<file path=xl/ctrlProps/ctrlProp13.xml><?xml version="1.0" encoding="utf-8"?>
<formControlPr xmlns="http://schemas.microsoft.com/office/spreadsheetml/2009/9/main" objectType="CheckBox" fmlaLink="$E$20" lockText="1" noThreeD="1"/>
</file>

<file path=xl/ctrlProps/ctrlProp14.xml><?xml version="1.0" encoding="utf-8"?>
<formControlPr xmlns="http://schemas.microsoft.com/office/spreadsheetml/2009/9/main" objectType="CheckBox" fmlaLink="$E$21" lockText="1" noThreeD="1"/>
</file>

<file path=xl/ctrlProps/ctrlProp15.xml><?xml version="1.0" encoding="utf-8"?>
<formControlPr xmlns="http://schemas.microsoft.com/office/spreadsheetml/2009/9/main" objectType="CheckBox" fmlaLink="$E$19" lockText="1" noThreeD="1"/>
</file>

<file path=xl/ctrlProps/ctrlProp16.xml><?xml version="1.0" encoding="utf-8"?>
<formControlPr xmlns="http://schemas.microsoft.com/office/spreadsheetml/2009/9/main" objectType="CheckBox" fmlaLink="$E$30" lockText="1" noThreeD="1"/>
</file>

<file path=xl/ctrlProps/ctrlProp17.xml><?xml version="1.0" encoding="utf-8"?>
<formControlPr xmlns="http://schemas.microsoft.com/office/spreadsheetml/2009/9/main" objectType="CheckBox" fmlaLink="$E$31" lockText="1" noThreeD="1"/>
</file>

<file path=xl/ctrlProps/ctrlProp18.xml><?xml version="1.0" encoding="utf-8"?>
<formControlPr xmlns="http://schemas.microsoft.com/office/spreadsheetml/2009/9/main" objectType="CheckBox" fmlaLink="$E$32" lockText="1" noThreeD="1"/>
</file>

<file path=xl/ctrlProps/ctrlProp19.xml><?xml version="1.0" encoding="utf-8"?>
<formControlPr xmlns="http://schemas.microsoft.com/office/spreadsheetml/2009/9/main" objectType="CheckBox" fmlaLink="$E$33"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CheckBox" fmlaLink="$E$10" lockText="1" noThreeD="1"/>
</file>

<file path=xl/ctrlProps/ctrlProp22.xml><?xml version="1.0" encoding="utf-8"?>
<formControlPr xmlns="http://schemas.microsoft.com/office/spreadsheetml/2009/9/main" objectType="CheckBox" fmlaLink="$E$11" lockText="1" noThreeD="1"/>
</file>

<file path=xl/ctrlProps/ctrlProp23.xml><?xml version="1.0" encoding="utf-8"?>
<formControlPr xmlns="http://schemas.microsoft.com/office/spreadsheetml/2009/9/main" objectType="CheckBox" fmlaLink="$E$4" lockText="1" noThreeD="1"/>
</file>

<file path=xl/ctrlProps/ctrlProp24.xml><?xml version="1.0" encoding="utf-8"?>
<formControlPr xmlns="http://schemas.microsoft.com/office/spreadsheetml/2009/9/main" objectType="CheckBox" fmlaLink="$E$8" lockText="1" noThreeD="1"/>
</file>

<file path=xl/ctrlProps/ctrlProp25.xml><?xml version="1.0" encoding="utf-8"?>
<formControlPr xmlns="http://schemas.microsoft.com/office/spreadsheetml/2009/9/main" objectType="CheckBox" fmlaLink="$E$13" lockText="1" noThreeD="1"/>
</file>

<file path=xl/ctrlProps/ctrlProp26.xml><?xml version="1.0" encoding="utf-8"?>
<formControlPr xmlns="http://schemas.microsoft.com/office/spreadsheetml/2009/9/main" objectType="CheckBox" fmlaLink="$E$26" lockText="1" noThreeD="1"/>
</file>

<file path=xl/ctrlProps/ctrlProp27.xml><?xml version="1.0" encoding="utf-8"?>
<formControlPr xmlns="http://schemas.microsoft.com/office/spreadsheetml/2009/9/main" objectType="CheckBox" fmlaLink="$E$27" lockText="1" noThreeD="1"/>
</file>

<file path=xl/ctrlProps/ctrlProp28.xml><?xml version="1.0" encoding="utf-8"?>
<formControlPr xmlns="http://schemas.microsoft.com/office/spreadsheetml/2009/9/main" objectType="CheckBox" fmlaLink="$E$28" lockText="1" noThreeD="1"/>
</file>

<file path=xl/ctrlProps/ctrlProp29.xml><?xml version="1.0" encoding="utf-8"?>
<formControlPr xmlns="http://schemas.microsoft.com/office/spreadsheetml/2009/9/main" objectType="CheckBox" fmlaLink="$E$26" lockText="1" noThreeD="1"/>
</file>

<file path=xl/ctrlProps/ctrlProp3.xml><?xml version="1.0" encoding="utf-8"?>
<formControlPr xmlns="http://schemas.microsoft.com/office/spreadsheetml/2009/9/main" objectType="CheckBox" fmlaLink="$E$9" lockText="1" noThreeD="1"/>
</file>

<file path=xl/ctrlProps/ctrlProp30.xml><?xml version="1.0" encoding="utf-8"?>
<formControlPr xmlns="http://schemas.microsoft.com/office/spreadsheetml/2009/9/main" objectType="CheckBox" fmlaLink="$E$27" lockText="1" noThreeD="1"/>
</file>

<file path=xl/ctrlProps/ctrlProp31.xml><?xml version="1.0" encoding="utf-8"?>
<formControlPr xmlns="http://schemas.microsoft.com/office/spreadsheetml/2009/9/main" objectType="CheckBox" fmlaLink="$E$28" lockText="1" noThreeD="1"/>
</file>

<file path=xl/ctrlProps/ctrlProp32.xml><?xml version="1.0" encoding="utf-8"?>
<formControlPr xmlns="http://schemas.microsoft.com/office/spreadsheetml/2009/9/main" objectType="CheckBox" fmlaLink="$E$26" lockText="1" noThreeD="1"/>
</file>

<file path=xl/ctrlProps/ctrlProp33.xml><?xml version="1.0" encoding="utf-8"?>
<formControlPr xmlns="http://schemas.microsoft.com/office/spreadsheetml/2009/9/main" objectType="CheckBox" fmlaLink="$E$28" lockText="1" noThreeD="1"/>
</file>

<file path=xl/ctrlProps/ctrlProp34.xml><?xml version="1.0" encoding="utf-8"?>
<formControlPr xmlns="http://schemas.microsoft.com/office/spreadsheetml/2009/9/main" objectType="CheckBox" fmlaLink="$E$29" lockText="1" noThreeD="1"/>
</file>

<file path=xl/ctrlProps/ctrlProp35.xml><?xml version="1.0" encoding="utf-8"?>
<formControlPr xmlns="http://schemas.microsoft.com/office/spreadsheetml/2009/9/main" objectType="CheckBox" fmlaLink="$E$26" lockText="1" noThreeD="1"/>
</file>

<file path=xl/ctrlProps/ctrlProp36.xml><?xml version="1.0" encoding="utf-8"?>
<formControlPr xmlns="http://schemas.microsoft.com/office/spreadsheetml/2009/9/main" objectType="CheckBox" fmlaLink="$E$27" lockText="1" noThreeD="1"/>
</file>

<file path=xl/ctrlProps/ctrlProp37.xml><?xml version="1.0" encoding="utf-8"?>
<formControlPr xmlns="http://schemas.microsoft.com/office/spreadsheetml/2009/9/main" objectType="CheckBox" fmlaLink="$E$34" lockText="1" noThreeD="1"/>
</file>

<file path=xl/ctrlProps/ctrlProp38.xml><?xml version="1.0" encoding="utf-8"?>
<formControlPr xmlns="http://schemas.microsoft.com/office/spreadsheetml/2009/9/main" objectType="CheckBox" fmlaLink="$E$14" lockText="1" noThreeD="1"/>
</file>

<file path=xl/ctrlProps/ctrlProp4.xml><?xml version="1.0" encoding="utf-8"?>
<formControlPr xmlns="http://schemas.microsoft.com/office/spreadsheetml/2009/9/main" objectType="CheckBox" fmlaLink="$E$12" lockText="1" noThreeD="1"/>
</file>

<file path=xl/ctrlProps/ctrlProp5.xml><?xml version="1.0" encoding="utf-8"?>
<formControlPr xmlns="http://schemas.microsoft.com/office/spreadsheetml/2009/9/main" objectType="CheckBox" fmlaLink="$E$15" lockText="1" noThreeD="1"/>
</file>

<file path=xl/ctrlProps/ctrlProp6.xml><?xml version="1.0" encoding="utf-8"?>
<formControlPr xmlns="http://schemas.microsoft.com/office/spreadsheetml/2009/9/main" objectType="CheckBox" fmlaLink="$E$5" lockText="1" noThreeD="1"/>
</file>

<file path=xl/ctrlProps/ctrlProp7.xml><?xml version="1.0" encoding="utf-8"?>
<formControlPr xmlns="http://schemas.microsoft.com/office/spreadsheetml/2009/9/main" objectType="CheckBox" fmlaLink="$E$6" lockText="1" noThreeD="1"/>
</file>

<file path=xl/ctrlProps/ctrlProp8.xml><?xml version="1.0" encoding="utf-8"?>
<formControlPr xmlns="http://schemas.microsoft.com/office/spreadsheetml/2009/9/main" objectType="CheckBox" fmlaLink="$E$17" lockText="1" noThreeD="1"/>
</file>

<file path=xl/ctrlProps/ctrlProp9.xml><?xml version="1.0" encoding="utf-8"?>
<formControlPr xmlns="http://schemas.microsoft.com/office/spreadsheetml/2009/9/main" objectType="CheckBox" fmlaLink="$E$22" lockText="1" noThreeD="1"/>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ntre%20de%20dades\web\dades-accion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w906372\LOCALS~1\Temp\Directorio%20temporal%201%20para%20CNMV_IPP_0607.zip\CNMV_IPP_06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NTCOAP\FINMES\DEXT13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efan01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TEMP\USERS\U078671\13\RCE%20sim%203.0%20Hip%20Nuev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USERS\U078671\13\RCE%20sim%203.0%20Hip%20Nuev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area%20tecnica\rrpp\carga%20rrpp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area%20tecnica\rrpp\carga%20rrpp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COAP\FINMES\Rmer\RIESM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es Reuters"/>
      <sheetName val="Gràfica"/>
      <sheetName val="Accions BS "/>
      <sheetName val="Autocartera "/>
      <sheetName val="Autocartera  drets"/>
      <sheetName val="Accions BS  drets"/>
      <sheetName val="Accions BS juny"/>
      <sheetName val="Autocartera  BS juny"/>
      <sheetName val="Accions BS juliol"/>
      <sheetName val="Autocartera  BS juliol"/>
      <sheetName val="Hoja3"/>
      <sheetName val="ABRIL"/>
    </sheetNames>
    <sheetDataSet>
      <sheetData sheetId="0" refreshError="1">
        <row r="3">
          <cell r="A3">
            <v>37083</v>
          </cell>
          <cell r="B3">
            <v>17.68</v>
          </cell>
          <cell r="C3">
            <v>134972</v>
          </cell>
          <cell r="D3">
            <v>18.09</v>
          </cell>
          <cell r="E3">
            <v>17.62</v>
          </cell>
          <cell r="F3">
            <v>18</v>
          </cell>
          <cell r="G3">
            <v>0</v>
          </cell>
          <cell r="I3">
            <v>37083</v>
          </cell>
          <cell r="J3">
            <v>8266.1</v>
          </cell>
        </row>
        <row r="4">
          <cell r="A4">
            <v>37082</v>
          </cell>
          <cell r="B4">
            <v>18.100000000000001</v>
          </cell>
          <cell r="C4">
            <v>40655</v>
          </cell>
          <cell r="D4">
            <v>18.100000000000001</v>
          </cell>
          <cell r="E4">
            <v>17.809999999999999</v>
          </cell>
          <cell r="F4">
            <v>18</v>
          </cell>
          <cell r="G4">
            <v>0</v>
          </cell>
          <cell r="I4">
            <v>37082</v>
          </cell>
          <cell r="J4">
            <v>8465.1</v>
          </cell>
        </row>
        <row r="5">
          <cell r="A5">
            <v>37081</v>
          </cell>
          <cell r="B5">
            <v>17.899999999999999</v>
          </cell>
          <cell r="C5">
            <v>43097</v>
          </cell>
          <cell r="D5">
            <v>18.18</v>
          </cell>
          <cell r="E5">
            <v>17.75</v>
          </cell>
          <cell r="F5">
            <v>18.100000000000001</v>
          </cell>
          <cell r="G5">
            <v>0</v>
          </cell>
          <cell r="I5">
            <v>37081</v>
          </cell>
          <cell r="J5">
            <v>8526.2000000000007</v>
          </cell>
        </row>
        <row r="6">
          <cell r="A6">
            <v>37078</v>
          </cell>
          <cell r="B6">
            <v>18.13</v>
          </cell>
          <cell r="C6">
            <v>65312</v>
          </cell>
          <cell r="D6">
            <v>18.5</v>
          </cell>
          <cell r="E6">
            <v>18.07</v>
          </cell>
          <cell r="F6">
            <v>18.38</v>
          </cell>
          <cell r="G6">
            <v>0</v>
          </cell>
          <cell r="I6">
            <v>37078</v>
          </cell>
          <cell r="J6">
            <v>8501.9</v>
          </cell>
        </row>
        <row r="7">
          <cell r="A7">
            <v>37077</v>
          </cell>
          <cell r="B7">
            <v>18.399999999999999</v>
          </cell>
          <cell r="C7">
            <v>107992</v>
          </cell>
          <cell r="D7">
            <v>18.47</v>
          </cell>
          <cell r="E7">
            <v>17.61</v>
          </cell>
          <cell r="F7">
            <v>17.61</v>
          </cell>
          <cell r="G7">
            <v>0</v>
          </cell>
          <cell r="I7">
            <v>37077</v>
          </cell>
          <cell r="J7">
            <v>8787.6</v>
          </cell>
        </row>
        <row r="8">
          <cell r="A8">
            <v>37076</v>
          </cell>
          <cell r="B8">
            <v>18.309999999999999</v>
          </cell>
          <cell r="C8">
            <v>86435</v>
          </cell>
          <cell r="D8">
            <v>18.309999999999999</v>
          </cell>
          <cell r="E8">
            <v>17.899999999999999</v>
          </cell>
          <cell r="F8">
            <v>18.190000000000001</v>
          </cell>
          <cell r="G8">
            <v>0</v>
          </cell>
          <cell r="I8">
            <v>37076</v>
          </cell>
          <cell r="J8">
            <v>8885</v>
          </cell>
        </row>
        <row r="9">
          <cell r="A9">
            <v>37075</v>
          </cell>
          <cell r="B9">
            <v>18.2</v>
          </cell>
          <cell r="C9">
            <v>138062</v>
          </cell>
          <cell r="D9">
            <v>18.2</v>
          </cell>
          <cell r="E9">
            <v>17.8</v>
          </cell>
          <cell r="F9">
            <v>17.989999999999998</v>
          </cell>
          <cell r="G9">
            <v>0</v>
          </cell>
          <cell r="I9">
            <v>37075</v>
          </cell>
          <cell r="J9">
            <v>9015.9</v>
          </cell>
        </row>
        <row r="10">
          <cell r="A10">
            <v>37074</v>
          </cell>
          <cell r="B10">
            <v>17.91</v>
          </cell>
          <cell r="C10">
            <v>50827</v>
          </cell>
          <cell r="D10">
            <v>18.100000000000001</v>
          </cell>
          <cell r="E10">
            <v>17.899999999999999</v>
          </cell>
          <cell r="F10">
            <v>17.899999999999999</v>
          </cell>
          <cell r="G10">
            <v>0</v>
          </cell>
          <cell r="I10">
            <v>37074</v>
          </cell>
          <cell r="J10">
            <v>9073.2999999999993</v>
          </cell>
        </row>
        <row r="11">
          <cell r="A11">
            <v>37071</v>
          </cell>
          <cell r="B11">
            <v>17.899999999999999</v>
          </cell>
          <cell r="C11">
            <v>41089</v>
          </cell>
          <cell r="D11">
            <v>18.12</v>
          </cell>
          <cell r="E11">
            <v>17.8</v>
          </cell>
          <cell r="F11">
            <v>18.12</v>
          </cell>
          <cell r="G11">
            <v>0</v>
          </cell>
          <cell r="I11">
            <v>37071</v>
          </cell>
          <cell r="J11">
            <v>8878.4</v>
          </cell>
        </row>
        <row r="12">
          <cell r="A12">
            <v>37070</v>
          </cell>
          <cell r="B12">
            <v>18</v>
          </cell>
          <cell r="C12">
            <v>69332</v>
          </cell>
          <cell r="D12">
            <v>18.18</v>
          </cell>
          <cell r="E12">
            <v>17.95</v>
          </cell>
          <cell r="F12">
            <v>18.079999999999998</v>
          </cell>
          <cell r="G12">
            <v>0</v>
          </cell>
          <cell r="I12">
            <v>37070</v>
          </cell>
          <cell r="J12">
            <v>8866.5</v>
          </cell>
        </row>
        <row r="13">
          <cell r="A13">
            <v>37069</v>
          </cell>
          <cell r="B13">
            <v>18.010000000000002</v>
          </cell>
          <cell r="C13">
            <v>174547</v>
          </cell>
          <cell r="D13">
            <v>18.48</v>
          </cell>
          <cell r="E13">
            <v>18</v>
          </cell>
          <cell r="F13">
            <v>18.48</v>
          </cell>
          <cell r="G13">
            <v>0</v>
          </cell>
          <cell r="I13">
            <v>37069</v>
          </cell>
          <cell r="J13">
            <v>8787.6</v>
          </cell>
        </row>
        <row r="14">
          <cell r="A14">
            <v>37068</v>
          </cell>
          <cell r="B14">
            <v>18.399999999999999</v>
          </cell>
          <cell r="C14">
            <v>79779</v>
          </cell>
          <cell r="D14">
            <v>18.59</v>
          </cell>
          <cell r="E14">
            <v>18.34</v>
          </cell>
          <cell r="F14">
            <v>18.5</v>
          </cell>
          <cell r="G14">
            <v>0</v>
          </cell>
          <cell r="I14">
            <v>37068</v>
          </cell>
          <cell r="J14">
            <v>8792.7000000000007</v>
          </cell>
        </row>
        <row r="15">
          <cell r="A15">
            <v>37067</v>
          </cell>
          <cell r="B15">
            <v>18.54</v>
          </cell>
          <cell r="C15">
            <v>41976</v>
          </cell>
          <cell r="D15">
            <v>18.7</v>
          </cell>
          <cell r="E15">
            <v>18.510000000000002</v>
          </cell>
          <cell r="F15">
            <v>18.690000000000001</v>
          </cell>
          <cell r="G15">
            <v>0</v>
          </cell>
          <cell r="I15">
            <v>37067</v>
          </cell>
          <cell r="J15">
            <v>8964.2999999999993</v>
          </cell>
        </row>
        <row r="16">
          <cell r="A16">
            <v>37064</v>
          </cell>
          <cell r="B16">
            <v>18.7</v>
          </cell>
          <cell r="C16">
            <v>51565</v>
          </cell>
          <cell r="D16">
            <v>18.7</v>
          </cell>
          <cell r="E16">
            <v>18.53</v>
          </cell>
          <cell r="F16">
            <v>18.7</v>
          </cell>
          <cell r="G16">
            <v>0</v>
          </cell>
          <cell r="I16">
            <v>37064</v>
          </cell>
          <cell r="J16">
            <v>8925.2000000000007</v>
          </cell>
        </row>
        <row r="17">
          <cell r="A17">
            <v>37063</v>
          </cell>
          <cell r="B17">
            <v>18.66</v>
          </cell>
          <cell r="C17">
            <v>30098</v>
          </cell>
          <cell r="D17">
            <v>18.7</v>
          </cell>
          <cell r="E17">
            <v>18.61</v>
          </cell>
          <cell r="F17">
            <v>18.7</v>
          </cell>
          <cell r="G17">
            <v>0</v>
          </cell>
          <cell r="I17">
            <v>37063</v>
          </cell>
          <cell r="J17">
            <v>8920.9</v>
          </cell>
        </row>
        <row r="18">
          <cell r="A18">
            <v>37062</v>
          </cell>
          <cell r="B18">
            <v>18.649999999999999</v>
          </cell>
          <cell r="C18">
            <v>89030</v>
          </cell>
          <cell r="D18">
            <v>18.88</v>
          </cell>
          <cell r="E18">
            <v>18.62</v>
          </cell>
          <cell r="F18">
            <v>18.77</v>
          </cell>
          <cell r="G18">
            <v>0</v>
          </cell>
          <cell r="I18">
            <v>37062</v>
          </cell>
          <cell r="J18">
            <v>9021.5</v>
          </cell>
        </row>
        <row r="19">
          <cell r="A19">
            <v>37061</v>
          </cell>
          <cell r="B19">
            <v>18.739999999999998</v>
          </cell>
          <cell r="C19">
            <v>69562</v>
          </cell>
          <cell r="D19">
            <v>18.899999999999999</v>
          </cell>
          <cell r="E19">
            <v>18.63</v>
          </cell>
          <cell r="F19">
            <v>18.899999999999999</v>
          </cell>
          <cell r="G19">
            <v>0</v>
          </cell>
          <cell r="I19">
            <v>37061</v>
          </cell>
          <cell r="J19">
            <v>9047.9</v>
          </cell>
        </row>
        <row r="20">
          <cell r="A20">
            <v>37060</v>
          </cell>
          <cell r="B20">
            <v>18.899999999999999</v>
          </cell>
          <cell r="C20">
            <v>84979</v>
          </cell>
          <cell r="D20">
            <v>19</v>
          </cell>
          <cell r="E20">
            <v>18.62</v>
          </cell>
          <cell r="F20">
            <v>19</v>
          </cell>
          <cell r="G20">
            <v>0</v>
          </cell>
          <cell r="I20">
            <v>37060</v>
          </cell>
          <cell r="J20">
            <v>9018.7000000000007</v>
          </cell>
        </row>
        <row r="21">
          <cell r="A21">
            <v>37057</v>
          </cell>
          <cell r="B21">
            <v>18.87</v>
          </cell>
          <cell r="C21">
            <v>29314</v>
          </cell>
          <cell r="D21">
            <v>18.98</v>
          </cell>
          <cell r="E21">
            <v>18.8</v>
          </cell>
          <cell r="F21">
            <v>18.850000000000001</v>
          </cell>
          <cell r="G21">
            <v>0</v>
          </cell>
          <cell r="I21">
            <v>37057</v>
          </cell>
          <cell r="J21">
            <v>9363.2999999999993</v>
          </cell>
        </row>
        <row r="22">
          <cell r="A22">
            <v>37056</v>
          </cell>
          <cell r="B22">
            <v>19</v>
          </cell>
          <cell r="C22">
            <v>55427</v>
          </cell>
          <cell r="D22">
            <v>19</v>
          </cell>
          <cell r="E22">
            <v>18.75</v>
          </cell>
          <cell r="F22">
            <v>18.760000000000002</v>
          </cell>
          <cell r="G22">
            <v>0</v>
          </cell>
          <cell r="I22">
            <v>37056</v>
          </cell>
          <cell r="J22">
            <v>9476.6</v>
          </cell>
        </row>
        <row r="23">
          <cell r="A23">
            <v>37055</v>
          </cell>
          <cell r="B23">
            <v>18.7</v>
          </cell>
          <cell r="C23">
            <v>147670</v>
          </cell>
          <cell r="D23">
            <v>19.079999999999998</v>
          </cell>
          <cell r="E23">
            <v>18.66</v>
          </cell>
          <cell r="F23">
            <v>19.079999999999998</v>
          </cell>
          <cell r="G23">
            <v>0</v>
          </cell>
          <cell r="I23">
            <v>37055</v>
          </cell>
          <cell r="J23">
            <v>9522.5</v>
          </cell>
        </row>
        <row r="24">
          <cell r="A24">
            <v>37054</v>
          </cell>
          <cell r="B24">
            <v>19.149999999999999</v>
          </cell>
          <cell r="C24">
            <v>118034</v>
          </cell>
          <cell r="D24">
            <v>19.5</v>
          </cell>
          <cell r="E24">
            <v>19.07</v>
          </cell>
          <cell r="F24">
            <v>19.22</v>
          </cell>
          <cell r="G24">
            <v>0</v>
          </cell>
          <cell r="I24">
            <v>37054</v>
          </cell>
          <cell r="J24">
            <v>9444</v>
          </cell>
        </row>
        <row r="25">
          <cell r="A25">
            <v>37053</v>
          </cell>
          <cell r="B25">
            <v>19.3</v>
          </cell>
          <cell r="C25">
            <v>268546</v>
          </cell>
          <cell r="D25">
            <v>19.3</v>
          </cell>
          <cell r="E25">
            <v>19</v>
          </cell>
          <cell r="F25">
            <v>19.149999999999999</v>
          </cell>
          <cell r="G25">
            <v>0</v>
          </cell>
          <cell r="I25">
            <v>37053</v>
          </cell>
          <cell r="J25">
            <v>9606.7999999999993</v>
          </cell>
        </row>
        <row r="26">
          <cell r="A26">
            <v>37050</v>
          </cell>
          <cell r="B26">
            <v>19.149999999999999</v>
          </cell>
          <cell r="C26">
            <v>81773</v>
          </cell>
          <cell r="D26">
            <v>19.2</v>
          </cell>
          <cell r="E26">
            <v>19</v>
          </cell>
          <cell r="F26">
            <v>19.149999999999999</v>
          </cell>
          <cell r="G26">
            <v>0</v>
          </cell>
          <cell r="I26">
            <v>37050</v>
          </cell>
          <cell r="J26">
            <v>9607.2999999999993</v>
          </cell>
        </row>
        <row r="27">
          <cell r="A27">
            <v>37049</v>
          </cell>
          <cell r="B27">
            <v>19.2</v>
          </cell>
          <cell r="C27">
            <v>106300</v>
          </cell>
          <cell r="D27">
            <v>19.2</v>
          </cell>
          <cell r="E27">
            <v>19.010000000000002</v>
          </cell>
          <cell r="F27">
            <v>19.16</v>
          </cell>
          <cell r="G27">
            <v>0</v>
          </cell>
          <cell r="I27">
            <v>37049</v>
          </cell>
          <cell r="J27">
            <v>9516.7999999999993</v>
          </cell>
        </row>
        <row r="28">
          <cell r="A28">
            <v>37048</v>
          </cell>
          <cell r="B28">
            <v>19.07</v>
          </cell>
          <cell r="C28">
            <v>110983</v>
          </cell>
          <cell r="D28">
            <v>19.170000000000002</v>
          </cell>
          <cell r="E28">
            <v>19</v>
          </cell>
          <cell r="F28">
            <v>19.100000000000001</v>
          </cell>
          <cell r="G28">
            <v>0</v>
          </cell>
          <cell r="I28">
            <v>37048</v>
          </cell>
          <cell r="J28">
            <v>9530.7000000000007</v>
          </cell>
        </row>
        <row r="29">
          <cell r="A29">
            <v>37047</v>
          </cell>
          <cell r="B29">
            <v>19.09</v>
          </cell>
          <cell r="C29">
            <v>191606</v>
          </cell>
          <cell r="D29">
            <v>19.2</v>
          </cell>
          <cell r="E29">
            <v>18.7</v>
          </cell>
          <cell r="F29">
            <v>18.7</v>
          </cell>
          <cell r="G29">
            <v>0</v>
          </cell>
          <cell r="I29">
            <v>37047</v>
          </cell>
          <cell r="J29">
            <v>9601.7999999999993</v>
          </cell>
        </row>
        <row r="30">
          <cell r="A30">
            <v>37046</v>
          </cell>
          <cell r="B30">
            <v>18.66</v>
          </cell>
          <cell r="C30">
            <v>72625</v>
          </cell>
          <cell r="D30">
            <v>18.739999999999998</v>
          </cell>
          <cell r="E30">
            <v>18.600000000000001</v>
          </cell>
          <cell r="F30">
            <v>18.62</v>
          </cell>
          <cell r="G30">
            <v>0</v>
          </cell>
          <cell r="I30">
            <v>37046</v>
          </cell>
          <cell r="J30">
            <v>9561.5</v>
          </cell>
        </row>
        <row r="31">
          <cell r="A31">
            <v>37043</v>
          </cell>
          <cell r="B31">
            <v>18.5</v>
          </cell>
          <cell r="C31">
            <v>367388</v>
          </cell>
          <cell r="D31">
            <v>18.899999999999999</v>
          </cell>
          <cell r="E31">
            <v>18.399999999999999</v>
          </cell>
          <cell r="F31">
            <v>18.420000000000002</v>
          </cell>
          <cell r="G31">
            <v>0</v>
          </cell>
          <cell r="I31">
            <v>37043</v>
          </cell>
          <cell r="J31">
            <v>9399.4</v>
          </cell>
        </row>
        <row r="32">
          <cell r="A32">
            <v>37042</v>
          </cell>
          <cell r="B32">
            <v>19.277100000000001</v>
          </cell>
          <cell r="C32">
            <v>287359</v>
          </cell>
          <cell r="D32">
            <v>19.3371</v>
          </cell>
          <cell r="E32">
            <v>19.122900000000001</v>
          </cell>
          <cell r="F32">
            <v>19.122900000000001</v>
          </cell>
          <cell r="G32">
            <v>0</v>
          </cell>
          <cell r="I32">
            <v>37042</v>
          </cell>
          <cell r="J32">
            <v>9500.7000000000007</v>
          </cell>
        </row>
        <row r="33">
          <cell r="A33">
            <v>37041</v>
          </cell>
          <cell r="B33">
            <v>19.397099999999998</v>
          </cell>
          <cell r="C33">
            <v>238664</v>
          </cell>
          <cell r="D33">
            <v>19.5</v>
          </cell>
          <cell r="E33">
            <v>19.1143</v>
          </cell>
          <cell r="F33">
            <v>19.5</v>
          </cell>
          <cell r="G33">
            <v>37041</v>
          </cell>
          <cell r="I33">
            <v>37041</v>
          </cell>
          <cell r="J33">
            <v>9439.9</v>
          </cell>
        </row>
        <row r="34">
          <cell r="A34">
            <v>37040</v>
          </cell>
          <cell r="B34">
            <v>19.4057</v>
          </cell>
          <cell r="C34">
            <v>181881</v>
          </cell>
          <cell r="D34">
            <v>19.542899999999999</v>
          </cell>
          <cell r="E34">
            <v>19.328600000000002</v>
          </cell>
          <cell r="F34">
            <v>19.542899999999999</v>
          </cell>
          <cell r="G34">
            <v>37040</v>
          </cell>
          <cell r="I34">
            <v>37040</v>
          </cell>
          <cell r="J34">
            <v>9487.2000000000007</v>
          </cell>
        </row>
        <row r="35">
          <cell r="A35">
            <v>37039</v>
          </cell>
          <cell r="B35">
            <v>19.508600000000001</v>
          </cell>
          <cell r="C35">
            <v>327312</v>
          </cell>
          <cell r="D35">
            <v>19.534300000000002</v>
          </cell>
          <cell r="E35">
            <v>19.071400000000001</v>
          </cell>
          <cell r="F35">
            <v>19.174299999999999</v>
          </cell>
          <cell r="G35">
            <v>37039</v>
          </cell>
          <cell r="I35">
            <v>37039</v>
          </cell>
          <cell r="J35">
            <v>9545.6</v>
          </cell>
        </row>
        <row r="36">
          <cell r="A36">
            <v>37036</v>
          </cell>
          <cell r="B36">
            <v>18.891400000000001</v>
          </cell>
          <cell r="C36">
            <v>344436</v>
          </cell>
          <cell r="D36">
            <v>19.174299999999999</v>
          </cell>
          <cell r="E36">
            <v>18.84</v>
          </cell>
          <cell r="F36">
            <v>18.84</v>
          </cell>
          <cell r="G36">
            <v>37036</v>
          </cell>
          <cell r="I36">
            <v>37036</v>
          </cell>
          <cell r="J36">
            <v>9468.4</v>
          </cell>
        </row>
        <row r="37">
          <cell r="A37">
            <v>37035</v>
          </cell>
          <cell r="B37">
            <v>18.857099999999999</v>
          </cell>
          <cell r="C37">
            <v>126863</v>
          </cell>
          <cell r="D37">
            <v>18.857099999999999</v>
          </cell>
          <cell r="E37">
            <v>18.788599999999999</v>
          </cell>
          <cell r="F37">
            <v>18.814299999999999</v>
          </cell>
          <cell r="G37">
            <v>37035</v>
          </cell>
          <cell r="I37">
            <v>37035</v>
          </cell>
          <cell r="J37">
            <v>9616.2000000000007</v>
          </cell>
        </row>
        <row r="38">
          <cell r="A38">
            <v>37034</v>
          </cell>
          <cell r="B38">
            <v>18.814299999999999</v>
          </cell>
          <cell r="C38">
            <v>60201</v>
          </cell>
          <cell r="D38">
            <v>18.84</v>
          </cell>
          <cell r="E38">
            <v>18.66</v>
          </cell>
          <cell r="F38">
            <v>18.814299999999999</v>
          </cell>
          <cell r="G38">
            <v>37034</v>
          </cell>
          <cell r="I38">
            <v>37034</v>
          </cell>
          <cell r="J38">
            <v>9632.6</v>
          </cell>
        </row>
        <row r="39">
          <cell r="A39">
            <v>37033</v>
          </cell>
          <cell r="B39">
            <v>18.814299999999999</v>
          </cell>
          <cell r="C39">
            <v>54993</v>
          </cell>
          <cell r="D39">
            <v>18.822900000000001</v>
          </cell>
          <cell r="E39">
            <v>18.642900000000001</v>
          </cell>
          <cell r="F39">
            <v>18.642900000000001</v>
          </cell>
          <cell r="G39">
            <v>37033</v>
          </cell>
          <cell r="I39">
            <v>37033</v>
          </cell>
          <cell r="J39">
            <v>9626.9</v>
          </cell>
        </row>
        <row r="40">
          <cell r="A40">
            <v>37032</v>
          </cell>
          <cell r="B40">
            <v>18.694299999999998</v>
          </cell>
          <cell r="C40">
            <v>36415</v>
          </cell>
          <cell r="D40">
            <v>18.694299999999998</v>
          </cell>
          <cell r="E40">
            <v>18.600000000000001</v>
          </cell>
          <cell r="F40">
            <v>18.617100000000001</v>
          </cell>
          <cell r="G40">
            <v>37032</v>
          </cell>
          <cell r="I40">
            <v>37032</v>
          </cell>
          <cell r="J40">
            <v>9678.2000000000007</v>
          </cell>
        </row>
        <row r="41">
          <cell r="A41">
            <v>37029</v>
          </cell>
          <cell r="B41">
            <v>18.600000000000001</v>
          </cell>
          <cell r="C41">
            <v>65498</v>
          </cell>
          <cell r="D41">
            <v>18.677099999999999</v>
          </cell>
          <cell r="E41">
            <v>18.5657</v>
          </cell>
          <cell r="F41">
            <v>18.642900000000001</v>
          </cell>
          <cell r="G41">
            <v>37029</v>
          </cell>
          <cell r="I41">
            <v>37029</v>
          </cell>
          <cell r="J41">
            <v>9728.4</v>
          </cell>
        </row>
        <row r="42">
          <cell r="A42">
            <v>37028</v>
          </cell>
          <cell r="B42">
            <v>18.651399999999999</v>
          </cell>
          <cell r="C42">
            <v>43401</v>
          </cell>
          <cell r="D42">
            <v>18.754300000000001</v>
          </cell>
          <cell r="E42">
            <v>18.642900000000001</v>
          </cell>
          <cell r="F42">
            <v>18.745699999999999</v>
          </cell>
          <cell r="G42">
            <v>37028</v>
          </cell>
          <cell r="I42">
            <v>37028</v>
          </cell>
          <cell r="J42">
            <v>9661.5</v>
          </cell>
        </row>
        <row r="43">
          <cell r="A43">
            <v>37027</v>
          </cell>
          <cell r="B43">
            <v>18.677099999999999</v>
          </cell>
          <cell r="C43">
            <v>53769</v>
          </cell>
          <cell r="D43">
            <v>18.848600000000001</v>
          </cell>
          <cell r="E43">
            <v>18.677099999999999</v>
          </cell>
          <cell r="F43">
            <v>18.7714</v>
          </cell>
          <cell r="G43">
            <v>37027</v>
          </cell>
          <cell r="I43">
            <v>37027</v>
          </cell>
          <cell r="J43">
            <v>9588.1</v>
          </cell>
        </row>
        <row r="44">
          <cell r="A44">
            <v>37026</v>
          </cell>
          <cell r="B44">
            <v>18.7714</v>
          </cell>
          <cell r="C44">
            <v>45598</v>
          </cell>
          <cell r="D44">
            <v>18.822900000000001</v>
          </cell>
          <cell r="E44">
            <v>18.685700000000001</v>
          </cell>
          <cell r="F44">
            <v>18.788599999999999</v>
          </cell>
          <cell r="G44">
            <v>37026</v>
          </cell>
          <cell r="I44">
            <v>37026</v>
          </cell>
          <cell r="J44">
            <v>9667.6</v>
          </cell>
        </row>
        <row r="45">
          <cell r="A45">
            <v>37025</v>
          </cell>
          <cell r="B45">
            <v>18.788599999999999</v>
          </cell>
          <cell r="C45">
            <v>48201</v>
          </cell>
          <cell r="D45">
            <v>18.831399999999999</v>
          </cell>
          <cell r="E45">
            <v>18.685700000000001</v>
          </cell>
          <cell r="F45">
            <v>18.805700000000002</v>
          </cell>
          <cell r="G45">
            <v>37025</v>
          </cell>
          <cell r="I45">
            <v>37025</v>
          </cell>
          <cell r="J45">
            <v>9602.2000000000007</v>
          </cell>
        </row>
        <row r="46">
          <cell r="A46">
            <v>37022</v>
          </cell>
          <cell r="B46">
            <v>18.7971</v>
          </cell>
          <cell r="C46">
            <v>66578</v>
          </cell>
          <cell r="D46">
            <v>18.899999999999999</v>
          </cell>
          <cell r="E46">
            <v>18.788599999999999</v>
          </cell>
          <cell r="F46">
            <v>18.899999999999999</v>
          </cell>
          <cell r="G46">
            <v>37022</v>
          </cell>
          <cell r="I46">
            <v>37022</v>
          </cell>
          <cell r="J46">
            <v>9684.5</v>
          </cell>
        </row>
        <row r="47">
          <cell r="A47">
            <v>37021</v>
          </cell>
          <cell r="B47">
            <v>18.899999999999999</v>
          </cell>
          <cell r="C47">
            <v>154715</v>
          </cell>
          <cell r="D47">
            <v>18.899999999999999</v>
          </cell>
          <cell r="E47">
            <v>18.7714</v>
          </cell>
          <cell r="F47">
            <v>18.899999999999999</v>
          </cell>
          <cell r="G47">
            <v>37021</v>
          </cell>
          <cell r="I47">
            <v>37021</v>
          </cell>
          <cell r="J47">
            <v>9781.5</v>
          </cell>
        </row>
        <row r="48">
          <cell r="A48">
            <v>37020</v>
          </cell>
          <cell r="B48">
            <v>18.857099999999999</v>
          </cell>
          <cell r="C48">
            <v>77156</v>
          </cell>
          <cell r="D48">
            <v>18.942900000000002</v>
          </cell>
          <cell r="E48">
            <v>18.857099999999999</v>
          </cell>
          <cell r="F48">
            <v>18.942900000000002</v>
          </cell>
          <cell r="G48">
            <v>37020</v>
          </cell>
          <cell r="I48">
            <v>37020</v>
          </cell>
          <cell r="J48">
            <v>9654.2999999999993</v>
          </cell>
        </row>
        <row r="49">
          <cell r="A49">
            <v>37019</v>
          </cell>
          <cell r="B49">
            <v>18.9086</v>
          </cell>
          <cell r="C49">
            <v>48849</v>
          </cell>
          <cell r="D49">
            <v>19.011399999999998</v>
          </cell>
          <cell r="E49">
            <v>18.874300000000002</v>
          </cell>
          <cell r="F49">
            <v>19.011399999999998</v>
          </cell>
          <cell r="G49">
            <v>37019</v>
          </cell>
          <cell r="I49">
            <v>37019</v>
          </cell>
          <cell r="J49">
            <v>9658</v>
          </cell>
        </row>
        <row r="50">
          <cell r="A50">
            <v>37018</v>
          </cell>
          <cell r="B50">
            <v>18.882899999999999</v>
          </cell>
          <cell r="C50">
            <v>78986</v>
          </cell>
          <cell r="D50">
            <v>19.028600000000001</v>
          </cell>
          <cell r="E50">
            <v>18.874300000000002</v>
          </cell>
          <cell r="F50">
            <v>18.942900000000002</v>
          </cell>
          <cell r="G50">
            <v>37018</v>
          </cell>
          <cell r="I50">
            <v>37018</v>
          </cell>
          <cell r="J50">
            <v>9589.2000000000007</v>
          </cell>
        </row>
        <row r="51">
          <cell r="A51">
            <v>37015</v>
          </cell>
          <cell r="B51">
            <v>18.96</v>
          </cell>
          <cell r="C51">
            <v>76585</v>
          </cell>
          <cell r="D51">
            <v>18.968599999999999</v>
          </cell>
          <cell r="E51">
            <v>18.7714</v>
          </cell>
          <cell r="F51">
            <v>18.7714</v>
          </cell>
          <cell r="G51">
            <v>37015</v>
          </cell>
          <cell r="I51">
            <v>37015</v>
          </cell>
          <cell r="J51">
            <v>9542.7000000000007</v>
          </cell>
        </row>
        <row r="52">
          <cell r="A52">
            <v>37014</v>
          </cell>
          <cell r="B52">
            <v>18.857099999999999</v>
          </cell>
          <cell r="C52">
            <v>136318</v>
          </cell>
          <cell r="D52">
            <v>19.011399999999998</v>
          </cell>
          <cell r="E52">
            <v>18.694299999999998</v>
          </cell>
          <cell r="F52">
            <v>18.814299999999999</v>
          </cell>
          <cell r="G52">
            <v>37014</v>
          </cell>
          <cell r="I52">
            <v>37014</v>
          </cell>
          <cell r="J52">
            <v>9497.2000000000007</v>
          </cell>
        </row>
        <row r="53">
          <cell r="A53">
            <v>37013</v>
          </cell>
          <cell r="B53">
            <v>19.011399999999998</v>
          </cell>
          <cell r="C53">
            <v>107375</v>
          </cell>
          <cell r="D53">
            <v>19.0886</v>
          </cell>
          <cell r="E53">
            <v>18.651399999999999</v>
          </cell>
          <cell r="F53">
            <v>18.685700000000001</v>
          </cell>
          <cell r="G53">
            <v>37013</v>
          </cell>
          <cell r="I53">
            <v>37013</v>
          </cell>
          <cell r="J53">
            <v>9633.5</v>
          </cell>
        </row>
        <row r="54">
          <cell r="A54">
            <v>37011</v>
          </cell>
          <cell r="B54">
            <v>18.857099999999999</v>
          </cell>
          <cell r="C54">
            <v>214349</v>
          </cell>
          <cell r="D54">
            <v>19.1143</v>
          </cell>
          <cell r="E54">
            <v>18.557099999999998</v>
          </cell>
          <cell r="F54">
            <v>18.7714</v>
          </cell>
          <cell r="G54">
            <v>37011</v>
          </cell>
          <cell r="I54">
            <v>37011</v>
          </cell>
          <cell r="J54">
            <v>9761</v>
          </cell>
        </row>
        <row r="55">
          <cell r="A55">
            <v>37008</v>
          </cell>
          <cell r="B55">
            <v>18.7714</v>
          </cell>
          <cell r="C55">
            <v>143212</v>
          </cell>
          <cell r="D55">
            <v>18.7714</v>
          </cell>
          <cell r="E55">
            <v>18.445699999999999</v>
          </cell>
          <cell r="F55">
            <v>18.48</v>
          </cell>
          <cell r="G55">
            <v>37008</v>
          </cell>
          <cell r="I55">
            <v>37008</v>
          </cell>
          <cell r="J55">
            <v>9634.6</v>
          </cell>
        </row>
        <row r="56">
          <cell r="A56">
            <v>37007</v>
          </cell>
          <cell r="B56">
            <v>18.72</v>
          </cell>
          <cell r="C56">
            <v>266569</v>
          </cell>
          <cell r="D56">
            <v>18.754300000000001</v>
          </cell>
          <cell r="E56">
            <v>18.2743</v>
          </cell>
          <cell r="F56">
            <v>18.3</v>
          </cell>
          <cell r="G56">
            <v>37007</v>
          </cell>
          <cell r="I56">
            <v>37007</v>
          </cell>
          <cell r="J56">
            <v>9523.9</v>
          </cell>
        </row>
        <row r="57">
          <cell r="A57">
            <v>37006</v>
          </cell>
          <cell r="B57">
            <v>18.265699999999999</v>
          </cell>
          <cell r="C57">
            <v>203978</v>
          </cell>
          <cell r="D57">
            <v>18.420000000000002</v>
          </cell>
          <cell r="E57">
            <v>18.257100000000001</v>
          </cell>
          <cell r="F57">
            <v>18.282900000000001</v>
          </cell>
          <cell r="G57">
            <v>37006</v>
          </cell>
          <cell r="I57">
            <v>37006</v>
          </cell>
          <cell r="J57">
            <v>9350.4</v>
          </cell>
        </row>
        <row r="58">
          <cell r="A58">
            <v>37005</v>
          </cell>
          <cell r="B58">
            <v>18.445699999999999</v>
          </cell>
          <cell r="C58">
            <v>446789</v>
          </cell>
          <cell r="D58">
            <v>18.651399999999999</v>
          </cell>
          <cell r="E58">
            <v>18.428599999999999</v>
          </cell>
          <cell r="F58">
            <v>18.428599999999999</v>
          </cell>
          <cell r="G58">
            <v>37005</v>
          </cell>
          <cell r="I58">
            <v>37005</v>
          </cell>
          <cell r="J58">
            <v>9418.9</v>
          </cell>
        </row>
        <row r="59">
          <cell r="A59">
            <v>37004</v>
          </cell>
          <cell r="B59">
            <v>18.531400000000001</v>
          </cell>
          <cell r="C59">
            <v>781031</v>
          </cell>
          <cell r="D59">
            <v>19.1143</v>
          </cell>
          <cell r="E59">
            <v>18.531400000000001</v>
          </cell>
          <cell r="F59">
            <v>19.1143</v>
          </cell>
          <cell r="G59">
            <v>37004</v>
          </cell>
          <cell r="I59">
            <v>37004</v>
          </cell>
          <cell r="J59">
            <v>9269.4</v>
          </cell>
        </row>
        <row r="60">
          <cell r="A60">
            <v>37001</v>
          </cell>
          <cell r="B60">
            <v>19.371400000000001</v>
          </cell>
          <cell r="C60">
            <v>847540</v>
          </cell>
          <cell r="D60">
            <v>20.125699999999998</v>
          </cell>
          <cell r="E60">
            <v>19.285699999999999</v>
          </cell>
          <cell r="F60">
            <v>20.125699999999998</v>
          </cell>
          <cell r="G60">
            <v>37001</v>
          </cell>
          <cell r="I60">
            <v>37001</v>
          </cell>
          <cell r="J60">
            <v>9547.5</v>
          </cell>
        </row>
        <row r="61">
          <cell r="A61">
            <v>37000</v>
          </cell>
          <cell r="B61">
            <v>20.185700000000001</v>
          </cell>
          <cell r="C61">
            <v>720840</v>
          </cell>
          <cell r="D61">
            <v>20.828600000000002</v>
          </cell>
          <cell r="E61">
            <v>20.185700000000001</v>
          </cell>
          <cell r="F61">
            <v>20.6571</v>
          </cell>
          <cell r="G61">
            <v>37000</v>
          </cell>
          <cell r="I61">
            <v>37000</v>
          </cell>
          <cell r="J61">
            <v>9798</v>
          </cell>
        </row>
        <row r="62">
          <cell r="A62">
            <v>36999</v>
          </cell>
          <cell r="B62">
            <v>20.64</v>
          </cell>
          <cell r="C62">
            <v>3355490</v>
          </cell>
          <cell r="D62">
            <v>20.742899999999999</v>
          </cell>
          <cell r="E62">
            <v>19.542899999999999</v>
          </cell>
          <cell r="F62">
            <v>19.6114</v>
          </cell>
          <cell r="G62">
            <v>36999</v>
          </cell>
          <cell r="I62">
            <v>36999</v>
          </cell>
          <cell r="J62">
            <v>9797.7999999999993</v>
          </cell>
        </row>
        <row r="63">
          <cell r="A63" t="e">
            <v>#N/A</v>
          </cell>
          <cell r="B63" t="e">
            <v>#N/A</v>
          </cell>
          <cell r="C63" t="e">
            <v>#N/A</v>
          </cell>
          <cell r="D63" t="e">
            <v>#N/A</v>
          </cell>
          <cell r="E63" t="e">
            <v>#N/A</v>
          </cell>
          <cell r="F63" t="e">
            <v>#N/A</v>
          </cell>
          <cell r="G63">
            <v>36998</v>
          </cell>
          <cell r="I63">
            <v>36998</v>
          </cell>
          <cell r="J63">
            <v>9526.5</v>
          </cell>
        </row>
        <row r="64">
          <cell r="A64" t="e">
            <v>#N/A</v>
          </cell>
          <cell r="B64" t="e">
            <v>#N/A</v>
          </cell>
          <cell r="C64" t="e">
            <v>#N/A</v>
          </cell>
          <cell r="D64" t="e">
            <v>#N/A</v>
          </cell>
          <cell r="E64" t="e">
            <v>#N/A</v>
          </cell>
          <cell r="F64" t="e">
            <v>#N/A</v>
          </cell>
          <cell r="G64">
            <v>36993</v>
          </cell>
          <cell r="I64">
            <v>36993</v>
          </cell>
          <cell r="J64">
            <v>9648.7999999999993</v>
          </cell>
        </row>
        <row r="65">
          <cell r="A65" t="e">
            <v>#N/A</v>
          </cell>
          <cell r="B65" t="e">
            <v>#N/A</v>
          </cell>
          <cell r="C65" t="e">
            <v>#N/A</v>
          </cell>
          <cell r="D65" t="e">
            <v>#N/A</v>
          </cell>
          <cell r="E65" t="e">
            <v>#N/A</v>
          </cell>
          <cell r="F65" t="e">
            <v>#N/A</v>
          </cell>
          <cell r="G65">
            <v>36992</v>
          </cell>
          <cell r="I65">
            <v>36992</v>
          </cell>
          <cell r="J65">
            <v>9613.9</v>
          </cell>
        </row>
        <row r="66">
          <cell r="A66" t="e">
            <v>#N/A</v>
          </cell>
          <cell r="B66" t="e">
            <v>#N/A</v>
          </cell>
          <cell r="C66" t="e">
            <v>#N/A</v>
          </cell>
          <cell r="D66" t="e">
            <v>#N/A</v>
          </cell>
          <cell r="E66" t="e">
            <v>#N/A</v>
          </cell>
          <cell r="F66" t="e">
            <v>#N/A</v>
          </cell>
          <cell r="G66">
            <v>36991</v>
          </cell>
          <cell r="I66">
            <v>36991</v>
          </cell>
          <cell r="J66">
            <v>9601.7999999999993</v>
          </cell>
        </row>
        <row r="67">
          <cell r="A67" t="e">
            <v>#N/A</v>
          </cell>
          <cell r="B67" t="e">
            <v>#N/A</v>
          </cell>
          <cell r="C67" t="e">
            <v>#N/A</v>
          </cell>
          <cell r="D67" t="e">
            <v>#N/A</v>
          </cell>
          <cell r="E67" t="e">
            <v>#N/A</v>
          </cell>
          <cell r="F67" t="e">
            <v>#N/A</v>
          </cell>
          <cell r="G67">
            <v>36990</v>
          </cell>
          <cell r="I67">
            <v>36990</v>
          </cell>
          <cell r="J67">
            <v>9453.5</v>
          </cell>
        </row>
        <row r="68">
          <cell r="A68" t="e">
            <v>#N/A</v>
          </cell>
          <cell r="B68" t="e">
            <v>#N/A</v>
          </cell>
          <cell r="C68" t="e">
            <v>#N/A</v>
          </cell>
          <cell r="D68" t="e">
            <v>#N/A</v>
          </cell>
          <cell r="E68" t="e">
            <v>#N/A</v>
          </cell>
          <cell r="F68" t="e">
            <v>#N/A</v>
          </cell>
          <cell r="G68">
            <v>36987</v>
          </cell>
          <cell r="I68">
            <v>36987</v>
          </cell>
          <cell r="J68">
            <v>9328.4</v>
          </cell>
        </row>
        <row r="69">
          <cell r="A69" t="e">
            <v>#N/A</v>
          </cell>
          <cell r="B69" t="e">
            <v>#N/A</v>
          </cell>
          <cell r="C69" t="e">
            <v>#N/A</v>
          </cell>
          <cell r="D69" t="e">
            <v>#N/A</v>
          </cell>
          <cell r="E69" t="e">
            <v>#N/A</v>
          </cell>
          <cell r="F69" t="e">
            <v>#N/A</v>
          </cell>
          <cell r="G69">
            <v>36986</v>
          </cell>
          <cell r="I69">
            <v>36986</v>
          </cell>
          <cell r="J69">
            <v>9340.2000000000007</v>
          </cell>
        </row>
        <row r="70">
          <cell r="A70" t="e">
            <v>#N/A</v>
          </cell>
          <cell r="B70" t="e">
            <v>#N/A</v>
          </cell>
          <cell r="C70" t="e">
            <v>#N/A</v>
          </cell>
          <cell r="D70" t="e">
            <v>#N/A</v>
          </cell>
          <cell r="E70" t="e">
            <v>#N/A</v>
          </cell>
          <cell r="F70" t="e">
            <v>#N/A</v>
          </cell>
          <cell r="G70">
            <v>36985</v>
          </cell>
          <cell r="I70">
            <v>36985</v>
          </cell>
          <cell r="J70">
            <v>9172.4</v>
          </cell>
        </row>
        <row r="71">
          <cell r="A71" t="e">
            <v>#N/A</v>
          </cell>
          <cell r="B71" t="e">
            <v>#N/A</v>
          </cell>
          <cell r="C71" t="e">
            <v>#N/A</v>
          </cell>
          <cell r="D71" t="e">
            <v>#N/A</v>
          </cell>
          <cell r="E71" t="e">
            <v>#N/A</v>
          </cell>
          <cell r="F71" t="e">
            <v>#N/A</v>
          </cell>
          <cell r="G71">
            <v>36984</v>
          </cell>
          <cell r="I71">
            <v>36984</v>
          </cell>
          <cell r="J71">
            <v>9011.7999999999993</v>
          </cell>
        </row>
        <row r="72">
          <cell r="A72" t="e">
            <v>#N/A</v>
          </cell>
          <cell r="B72" t="e">
            <v>#N/A</v>
          </cell>
          <cell r="C72" t="e">
            <v>#N/A</v>
          </cell>
          <cell r="D72" t="e">
            <v>#N/A</v>
          </cell>
          <cell r="E72" t="e">
            <v>#N/A</v>
          </cell>
          <cell r="F72" t="e">
            <v>#N/A</v>
          </cell>
          <cell r="G72">
            <v>36983</v>
          </cell>
          <cell r="I72">
            <v>36983</v>
          </cell>
          <cell r="J72">
            <v>9324.2999999999993</v>
          </cell>
        </row>
        <row r="73">
          <cell r="A73" t="e">
            <v>#N/A</v>
          </cell>
          <cell r="B73" t="e">
            <v>#N/A</v>
          </cell>
          <cell r="C73" t="e">
            <v>#N/A</v>
          </cell>
          <cell r="D73" t="e">
            <v>#N/A</v>
          </cell>
          <cell r="E73" t="e">
            <v>#N/A</v>
          </cell>
          <cell r="F73" t="e">
            <v>#N/A</v>
          </cell>
          <cell r="G73">
            <v>36980</v>
          </cell>
          <cell r="I73">
            <v>36980</v>
          </cell>
          <cell r="J73">
            <v>9308.2999999999993</v>
          </cell>
        </row>
        <row r="74">
          <cell r="A74" t="e">
            <v>#N/A</v>
          </cell>
          <cell r="B74" t="e">
            <v>#N/A</v>
          </cell>
          <cell r="C74" t="e">
            <v>#N/A</v>
          </cell>
          <cell r="D74" t="e">
            <v>#N/A</v>
          </cell>
          <cell r="E74" t="e">
            <v>#N/A</v>
          </cell>
          <cell r="F74" t="e">
            <v>#N/A</v>
          </cell>
          <cell r="G74">
            <v>36979</v>
          </cell>
          <cell r="I74">
            <v>36979</v>
          </cell>
          <cell r="J74">
            <v>9222.7999999999993</v>
          </cell>
        </row>
        <row r="75">
          <cell r="A75" t="e">
            <v>#N/A</v>
          </cell>
          <cell r="B75" t="e">
            <v>#N/A</v>
          </cell>
          <cell r="C75" t="e">
            <v>#N/A</v>
          </cell>
          <cell r="D75" t="e">
            <v>#N/A</v>
          </cell>
          <cell r="E75" t="e">
            <v>#N/A</v>
          </cell>
          <cell r="F75" t="e">
            <v>#N/A</v>
          </cell>
          <cell r="G75">
            <v>36978</v>
          </cell>
          <cell r="I75">
            <v>36978</v>
          </cell>
          <cell r="J75">
            <v>9163.4</v>
          </cell>
        </row>
        <row r="76">
          <cell r="A76" t="e">
            <v>#N/A</v>
          </cell>
          <cell r="B76" t="e">
            <v>#N/A</v>
          </cell>
          <cell r="C76" t="e">
            <v>#N/A</v>
          </cell>
          <cell r="D76" t="e">
            <v>#N/A</v>
          </cell>
          <cell r="E76" t="e">
            <v>#N/A</v>
          </cell>
          <cell r="F76" t="e">
            <v>#N/A</v>
          </cell>
          <cell r="G76">
            <v>36977</v>
          </cell>
          <cell r="I76">
            <v>36977</v>
          </cell>
          <cell r="J76">
            <v>9263.2999999999993</v>
          </cell>
        </row>
        <row r="77">
          <cell r="A77" t="e">
            <v>#N/A</v>
          </cell>
          <cell r="B77" t="e">
            <v>#N/A</v>
          </cell>
          <cell r="C77" t="e">
            <v>#N/A</v>
          </cell>
          <cell r="D77" t="e">
            <v>#N/A</v>
          </cell>
          <cell r="E77" t="e">
            <v>#N/A</v>
          </cell>
          <cell r="F77" t="e">
            <v>#N/A</v>
          </cell>
          <cell r="G77">
            <v>36976</v>
          </cell>
          <cell r="I77">
            <v>36976</v>
          </cell>
          <cell r="J77">
            <v>9063.4</v>
          </cell>
        </row>
        <row r="78">
          <cell r="A78" t="e">
            <v>#N/A</v>
          </cell>
          <cell r="B78" t="e">
            <v>#N/A</v>
          </cell>
          <cell r="C78" t="e">
            <v>#N/A</v>
          </cell>
          <cell r="D78" t="e">
            <v>#N/A</v>
          </cell>
          <cell r="E78" t="e">
            <v>#N/A</v>
          </cell>
          <cell r="F78" t="e">
            <v>#N/A</v>
          </cell>
          <cell r="G78">
            <v>36973</v>
          </cell>
          <cell r="I78">
            <v>36973</v>
          </cell>
          <cell r="J78">
            <v>8810.5</v>
          </cell>
        </row>
        <row r="79">
          <cell r="A79" t="e">
            <v>#N/A</v>
          </cell>
          <cell r="B79" t="e">
            <v>#N/A</v>
          </cell>
          <cell r="C79" t="e">
            <v>#N/A</v>
          </cell>
          <cell r="D79" t="e">
            <v>#N/A</v>
          </cell>
          <cell r="E79" t="e">
            <v>#N/A</v>
          </cell>
          <cell r="F79" t="e">
            <v>#N/A</v>
          </cell>
          <cell r="G79">
            <v>36972</v>
          </cell>
          <cell r="I79">
            <v>36972</v>
          </cell>
          <cell r="J79">
            <v>8531.7999999999993</v>
          </cell>
        </row>
        <row r="80">
          <cell r="A80" t="e">
            <v>#N/A</v>
          </cell>
          <cell r="B80" t="e">
            <v>#N/A</v>
          </cell>
          <cell r="C80" t="e">
            <v>#N/A</v>
          </cell>
          <cell r="D80" t="e">
            <v>#N/A</v>
          </cell>
          <cell r="E80" t="e">
            <v>#N/A</v>
          </cell>
          <cell r="F80" t="e">
            <v>#N/A</v>
          </cell>
          <cell r="G80">
            <v>36971</v>
          </cell>
          <cell r="I80">
            <v>36971</v>
          </cell>
          <cell r="J80">
            <v>8899.7999999999993</v>
          </cell>
        </row>
        <row r="81">
          <cell r="A81" t="e">
            <v>#N/A</v>
          </cell>
          <cell r="B81" t="e">
            <v>#N/A</v>
          </cell>
          <cell r="C81" t="e">
            <v>#N/A</v>
          </cell>
          <cell r="D81" t="e">
            <v>#N/A</v>
          </cell>
          <cell r="E81" t="e">
            <v>#N/A</v>
          </cell>
          <cell r="F81" t="e">
            <v>#N/A</v>
          </cell>
          <cell r="G81">
            <v>36970</v>
          </cell>
          <cell r="I81">
            <v>36970</v>
          </cell>
          <cell r="J81">
            <v>9216.7000000000007</v>
          </cell>
        </row>
        <row r="82">
          <cell r="A82" t="e">
            <v>#N/A</v>
          </cell>
          <cell r="B82" t="e">
            <v>#N/A</v>
          </cell>
          <cell r="C82" t="e">
            <v>#N/A</v>
          </cell>
          <cell r="D82" t="e">
            <v>#N/A</v>
          </cell>
          <cell r="E82" t="e">
            <v>#N/A</v>
          </cell>
          <cell r="F82" t="e">
            <v>#N/A</v>
          </cell>
          <cell r="G82">
            <v>36969</v>
          </cell>
          <cell r="I82">
            <v>36969</v>
          </cell>
          <cell r="J82">
            <v>9251.2999999999993</v>
          </cell>
        </row>
        <row r="83">
          <cell r="A83" t="e">
            <v>#N/A</v>
          </cell>
          <cell r="B83" t="e">
            <v>#N/A</v>
          </cell>
          <cell r="C83" t="e">
            <v>#N/A</v>
          </cell>
          <cell r="D83" t="e">
            <v>#N/A</v>
          </cell>
          <cell r="E83" t="e">
            <v>#N/A</v>
          </cell>
          <cell r="F83" t="e">
            <v>#N/A</v>
          </cell>
          <cell r="G83">
            <v>36966</v>
          </cell>
          <cell r="I83">
            <v>36966</v>
          </cell>
          <cell r="J83">
            <v>9290</v>
          </cell>
        </row>
        <row r="84">
          <cell r="A84" t="e">
            <v>#N/A</v>
          </cell>
          <cell r="B84" t="e">
            <v>#N/A</v>
          </cell>
          <cell r="C84" t="e">
            <v>#N/A</v>
          </cell>
          <cell r="D84" t="e">
            <v>#N/A</v>
          </cell>
          <cell r="E84" t="e">
            <v>#N/A</v>
          </cell>
          <cell r="F84" t="e">
            <v>#N/A</v>
          </cell>
          <cell r="G84">
            <v>36965</v>
          </cell>
          <cell r="I84">
            <v>36965</v>
          </cell>
          <cell r="J84">
            <v>9476.2999999999993</v>
          </cell>
        </row>
        <row r="85">
          <cell r="A85" t="e">
            <v>#N/A</v>
          </cell>
          <cell r="B85" t="e">
            <v>#N/A</v>
          </cell>
          <cell r="C85" t="e">
            <v>#N/A</v>
          </cell>
          <cell r="D85" t="e">
            <v>#N/A</v>
          </cell>
          <cell r="E85" t="e">
            <v>#N/A</v>
          </cell>
          <cell r="F85" t="e">
            <v>#N/A</v>
          </cell>
          <cell r="G85">
            <v>36964</v>
          </cell>
          <cell r="I85">
            <v>36964</v>
          </cell>
          <cell r="J85">
            <v>9393</v>
          </cell>
        </row>
        <row r="86">
          <cell r="A86" t="e">
            <v>#N/A</v>
          </cell>
          <cell r="B86" t="e">
            <v>#N/A</v>
          </cell>
          <cell r="C86" t="e">
            <v>#N/A</v>
          </cell>
          <cell r="D86" t="e">
            <v>#N/A</v>
          </cell>
          <cell r="E86" t="e">
            <v>#N/A</v>
          </cell>
          <cell r="F86" t="e">
            <v>#N/A</v>
          </cell>
          <cell r="G86">
            <v>36963</v>
          </cell>
          <cell r="I86">
            <v>36963</v>
          </cell>
          <cell r="J86">
            <v>9510.9</v>
          </cell>
        </row>
        <row r="87">
          <cell r="A87" t="e">
            <v>#N/A</v>
          </cell>
          <cell r="B87" t="e">
            <v>#N/A</v>
          </cell>
          <cell r="C87" t="e">
            <v>#N/A</v>
          </cell>
          <cell r="D87" t="e">
            <v>#N/A</v>
          </cell>
          <cell r="E87" t="e">
            <v>#N/A</v>
          </cell>
          <cell r="F87" t="e">
            <v>#N/A</v>
          </cell>
          <cell r="G87">
            <v>36962</v>
          </cell>
          <cell r="I87">
            <v>36962</v>
          </cell>
          <cell r="J87">
            <v>9494.7999999999993</v>
          </cell>
        </row>
        <row r="88">
          <cell r="A88" t="e">
            <v>#N/A</v>
          </cell>
          <cell r="B88" t="e">
            <v>#N/A</v>
          </cell>
          <cell r="C88" t="e">
            <v>#N/A</v>
          </cell>
          <cell r="D88" t="e">
            <v>#N/A</v>
          </cell>
          <cell r="E88" t="e">
            <v>#N/A</v>
          </cell>
          <cell r="F88" t="e">
            <v>#N/A</v>
          </cell>
          <cell r="G88">
            <v>36959</v>
          </cell>
          <cell r="I88">
            <v>36959</v>
          </cell>
          <cell r="J88">
            <v>9726.6</v>
          </cell>
        </row>
        <row r="89">
          <cell r="A89" t="e">
            <v>#N/A</v>
          </cell>
          <cell r="B89" t="e">
            <v>#N/A</v>
          </cell>
          <cell r="C89" t="e">
            <v>#N/A</v>
          </cell>
          <cell r="D89" t="e">
            <v>#N/A</v>
          </cell>
          <cell r="E89" t="e">
            <v>#N/A</v>
          </cell>
          <cell r="F89" t="e">
            <v>#N/A</v>
          </cell>
          <cell r="G89">
            <v>36958</v>
          </cell>
          <cell r="I89">
            <v>36958</v>
          </cell>
          <cell r="J89">
            <v>9798.2000000000007</v>
          </cell>
        </row>
        <row r="90">
          <cell r="A90" t="e">
            <v>#N/A</v>
          </cell>
          <cell r="B90" t="e">
            <v>#N/A</v>
          </cell>
          <cell r="C90" t="e">
            <v>#N/A</v>
          </cell>
          <cell r="D90" t="e">
            <v>#N/A</v>
          </cell>
          <cell r="E90" t="e">
            <v>#N/A</v>
          </cell>
          <cell r="F90" t="e">
            <v>#N/A</v>
          </cell>
          <cell r="G90">
            <v>36957</v>
          </cell>
          <cell r="I90">
            <v>36957</v>
          </cell>
          <cell r="J90">
            <v>9923.2999999999993</v>
          </cell>
        </row>
        <row r="91">
          <cell r="A91" t="e">
            <v>#N/A</v>
          </cell>
          <cell r="B91" t="e">
            <v>#N/A</v>
          </cell>
          <cell r="C91" t="e">
            <v>#N/A</v>
          </cell>
          <cell r="D91" t="e">
            <v>#N/A</v>
          </cell>
          <cell r="E91" t="e">
            <v>#N/A</v>
          </cell>
          <cell r="F91" t="e">
            <v>#N/A</v>
          </cell>
          <cell r="G91">
            <v>36956</v>
          </cell>
          <cell r="I91">
            <v>36956</v>
          </cell>
          <cell r="J91">
            <v>9892.1</v>
          </cell>
        </row>
        <row r="92">
          <cell r="A92" t="e">
            <v>#N/A</v>
          </cell>
          <cell r="B92" t="e">
            <v>#N/A</v>
          </cell>
          <cell r="C92" t="e">
            <v>#N/A</v>
          </cell>
          <cell r="D92" t="e">
            <v>#N/A</v>
          </cell>
          <cell r="E92" t="e">
            <v>#N/A</v>
          </cell>
          <cell r="F92" t="e">
            <v>#N/A</v>
          </cell>
          <cell r="G92">
            <v>36955</v>
          </cell>
          <cell r="I92">
            <v>36955</v>
          </cell>
          <cell r="J92">
            <v>9688.1</v>
          </cell>
        </row>
        <row r="93">
          <cell r="A93" t="e">
            <v>#N/A</v>
          </cell>
          <cell r="B93" t="e">
            <v>#N/A</v>
          </cell>
          <cell r="C93" t="e">
            <v>#N/A</v>
          </cell>
          <cell r="D93" t="e">
            <v>#N/A</v>
          </cell>
          <cell r="E93" t="e">
            <v>#N/A</v>
          </cell>
          <cell r="F93" t="e">
            <v>#N/A</v>
          </cell>
          <cell r="G93">
            <v>36952</v>
          </cell>
          <cell r="I93">
            <v>36952</v>
          </cell>
          <cell r="J93">
            <v>9570.9</v>
          </cell>
        </row>
        <row r="94">
          <cell r="A94" t="e">
            <v>#N/A</v>
          </cell>
          <cell r="B94" t="e">
            <v>#N/A</v>
          </cell>
          <cell r="C94" t="e">
            <v>#N/A</v>
          </cell>
          <cell r="D94" t="e">
            <v>#N/A</v>
          </cell>
          <cell r="E94" t="e">
            <v>#N/A</v>
          </cell>
          <cell r="F94" t="e">
            <v>#N/A</v>
          </cell>
          <cell r="G94">
            <v>36951</v>
          </cell>
          <cell r="I94">
            <v>36951</v>
          </cell>
          <cell r="J94">
            <v>9486.1</v>
          </cell>
        </row>
        <row r="95">
          <cell r="A95" t="e">
            <v>#N/A</v>
          </cell>
          <cell r="B95" t="e">
            <v>#N/A</v>
          </cell>
          <cell r="C95" t="e">
            <v>#N/A</v>
          </cell>
          <cell r="D95" t="e">
            <v>#N/A</v>
          </cell>
          <cell r="E95" t="e">
            <v>#N/A</v>
          </cell>
          <cell r="F95" t="e">
            <v>#N/A</v>
          </cell>
          <cell r="G95">
            <v>36950</v>
          </cell>
          <cell r="I95">
            <v>36950</v>
          </cell>
          <cell r="J95">
            <v>9551.4</v>
          </cell>
        </row>
        <row r="96">
          <cell r="A96" t="e">
            <v>#N/A</v>
          </cell>
          <cell r="B96" t="e">
            <v>#N/A</v>
          </cell>
          <cell r="C96" t="e">
            <v>#N/A</v>
          </cell>
          <cell r="D96" t="e">
            <v>#N/A</v>
          </cell>
          <cell r="E96" t="e">
            <v>#N/A</v>
          </cell>
          <cell r="F96" t="e">
            <v>#N/A</v>
          </cell>
          <cell r="G96">
            <v>36949</v>
          </cell>
          <cell r="I96">
            <v>36949</v>
          </cell>
          <cell r="J96">
            <v>9554.1</v>
          </cell>
        </row>
        <row r="97">
          <cell r="A97" t="e">
            <v>#N/A</v>
          </cell>
          <cell r="B97" t="e">
            <v>#N/A</v>
          </cell>
          <cell r="C97" t="e">
            <v>#N/A</v>
          </cell>
          <cell r="D97" t="e">
            <v>#N/A</v>
          </cell>
          <cell r="E97" t="e">
            <v>#N/A</v>
          </cell>
          <cell r="F97" t="e">
            <v>#N/A</v>
          </cell>
          <cell r="G97">
            <v>36948</v>
          </cell>
          <cell r="I97">
            <v>36948</v>
          </cell>
          <cell r="J97">
            <v>9476.4</v>
          </cell>
        </row>
        <row r="98">
          <cell r="A98" t="e">
            <v>#N/A</v>
          </cell>
          <cell r="B98" t="e">
            <v>#N/A</v>
          </cell>
          <cell r="C98" t="e">
            <v>#N/A</v>
          </cell>
          <cell r="D98" t="e">
            <v>#N/A</v>
          </cell>
          <cell r="E98" t="e">
            <v>#N/A</v>
          </cell>
          <cell r="F98" t="e">
            <v>#N/A</v>
          </cell>
          <cell r="G98">
            <v>36945</v>
          </cell>
          <cell r="I98">
            <v>36945</v>
          </cell>
          <cell r="J98">
            <v>9344.7999999999993</v>
          </cell>
        </row>
        <row r="99">
          <cell r="A99" t="e">
            <v>#N/A</v>
          </cell>
          <cell r="B99" t="e">
            <v>#N/A</v>
          </cell>
          <cell r="C99" t="e">
            <v>#N/A</v>
          </cell>
          <cell r="D99" t="e">
            <v>#N/A</v>
          </cell>
          <cell r="E99" t="e">
            <v>#N/A</v>
          </cell>
          <cell r="F99" t="e">
            <v>#N/A</v>
          </cell>
          <cell r="G99">
            <v>36944</v>
          </cell>
          <cell r="I99">
            <v>36944</v>
          </cell>
          <cell r="J99">
            <v>9418.7999999999993</v>
          </cell>
        </row>
        <row r="100">
          <cell r="A100" t="e">
            <v>#N/A</v>
          </cell>
          <cell r="B100" t="e">
            <v>#N/A</v>
          </cell>
          <cell r="C100" t="e">
            <v>#N/A</v>
          </cell>
          <cell r="D100" t="e">
            <v>#N/A</v>
          </cell>
          <cell r="E100" t="e">
            <v>#N/A</v>
          </cell>
          <cell r="F100" t="e">
            <v>#N/A</v>
          </cell>
          <cell r="G100">
            <v>36943</v>
          </cell>
          <cell r="I100">
            <v>36943</v>
          </cell>
          <cell r="J100">
            <v>9592.1</v>
          </cell>
        </row>
        <row r="101">
          <cell r="A101" t="e">
            <v>#N/A</v>
          </cell>
          <cell r="B101" t="e">
            <v>#N/A</v>
          </cell>
          <cell r="C101" t="e">
            <v>#N/A</v>
          </cell>
          <cell r="D101" t="e">
            <v>#N/A</v>
          </cell>
          <cell r="E101" t="e">
            <v>#N/A</v>
          </cell>
          <cell r="F101" t="e">
            <v>#N/A</v>
          </cell>
          <cell r="G101">
            <v>36942</v>
          </cell>
          <cell r="I101">
            <v>36942</v>
          </cell>
          <cell r="J101">
            <v>9680.5</v>
          </cell>
        </row>
        <row r="102">
          <cell r="A102" t="e">
            <v>#N/A</v>
          </cell>
          <cell r="B102" t="e">
            <v>#N/A</v>
          </cell>
          <cell r="C102" t="e">
            <v>#N/A</v>
          </cell>
          <cell r="D102" t="e">
            <v>#N/A</v>
          </cell>
          <cell r="E102" t="e">
            <v>#N/A</v>
          </cell>
          <cell r="F102" t="e">
            <v>#N/A</v>
          </cell>
          <cell r="G102">
            <v>36941</v>
          </cell>
          <cell r="I102">
            <v>36941</v>
          </cell>
          <cell r="J102">
            <v>9861.2999999999993</v>
          </cell>
        </row>
        <row r="103">
          <cell r="A103" t="e">
            <v>#N/A</v>
          </cell>
          <cell r="B103" t="e">
            <v>#N/A</v>
          </cell>
          <cell r="C103" t="e">
            <v>#N/A</v>
          </cell>
          <cell r="D103" t="e">
            <v>#N/A</v>
          </cell>
          <cell r="E103" t="e">
            <v>#N/A</v>
          </cell>
          <cell r="F103" t="e">
            <v>#N/A</v>
          </cell>
          <cell r="G103">
            <v>36938</v>
          </cell>
          <cell r="I103">
            <v>36938</v>
          </cell>
          <cell r="J103">
            <v>9789.5</v>
          </cell>
        </row>
      </sheetData>
      <sheetData sheetId="1" refreshError="1"/>
      <sheetData sheetId="2" refreshError="1">
        <row r="45">
          <cell r="A45">
            <v>37013</v>
          </cell>
          <cell r="B45">
            <v>607610.69999999995</v>
          </cell>
        </row>
        <row r="46">
          <cell r="A46">
            <v>37014</v>
          </cell>
          <cell r="B46">
            <v>331543</v>
          </cell>
        </row>
        <row r="47">
          <cell r="A47">
            <v>37015</v>
          </cell>
          <cell r="B47">
            <v>276321.09999999998</v>
          </cell>
        </row>
        <row r="48">
          <cell r="A48">
            <v>37018</v>
          </cell>
          <cell r="B48">
            <v>204352</v>
          </cell>
        </row>
        <row r="49">
          <cell r="A49">
            <v>37019</v>
          </cell>
          <cell r="B49">
            <v>141593.60000000001</v>
          </cell>
        </row>
        <row r="50">
          <cell r="A50">
            <v>37020</v>
          </cell>
          <cell r="B50">
            <v>109910.8</v>
          </cell>
        </row>
        <row r="51">
          <cell r="A51">
            <v>37021</v>
          </cell>
          <cell r="B51">
            <v>105688.3</v>
          </cell>
        </row>
        <row r="52">
          <cell r="A52">
            <v>37022</v>
          </cell>
          <cell r="B52">
            <v>88546.2</v>
          </cell>
        </row>
        <row r="53">
          <cell r="A53">
            <v>37025</v>
          </cell>
          <cell r="B53">
            <v>80402.399999999994</v>
          </cell>
        </row>
        <row r="54">
          <cell r="A54">
            <v>37026</v>
          </cell>
          <cell r="B54">
            <v>65938</v>
          </cell>
        </row>
        <row r="55">
          <cell r="A55">
            <v>37027</v>
          </cell>
          <cell r="B55">
            <v>61343.199999999997</v>
          </cell>
        </row>
        <row r="56">
          <cell r="A56">
            <v>37028</v>
          </cell>
          <cell r="B56">
            <v>53378.9</v>
          </cell>
        </row>
        <row r="57">
          <cell r="A57">
            <v>37029</v>
          </cell>
          <cell r="B57">
            <v>52428.6</v>
          </cell>
        </row>
        <row r="58">
          <cell r="A58">
            <v>37032</v>
          </cell>
          <cell r="B58">
            <v>54872.7</v>
          </cell>
        </row>
        <row r="59">
          <cell r="A59">
            <v>37033</v>
          </cell>
          <cell r="B59">
            <v>55399.3</v>
          </cell>
        </row>
        <row r="60">
          <cell r="A60">
            <v>37034</v>
          </cell>
          <cell r="B60">
            <v>53946</v>
          </cell>
        </row>
        <row r="61">
          <cell r="A61">
            <v>37035</v>
          </cell>
          <cell r="B61">
            <v>51558.7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GE-A"/>
      <sheetName val="T-EN-A"/>
      <sheetName val="T-SO-A"/>
      <sheetName val="T-SE-A"/>
      <sheetName val="T-C-B"/>
      <sheetName val="T-C-C"/>
      <sheetName val="T-C-D"/>
      <sheetName val="T-C-F"/>
      <sheetName val="S-Menu"/>
      <sheetName val="S-C-2"/>
      <sheetName val="S-C-3"/>
      <sheetName val="S-GE-4"/>
      <sheetName val="S-SE-4"/>
      <sheetName val="S-SO-4"/>
      <sheetName val="S-EN-4"/>
      <sheetName val="S-EN-4b"/>
      <sheetName val="S-SO-5"/>
      <sheetName val="S-SO-4CN"/>
      <sheetName val="S-SO-5CN"/>
      <sheetName val="S-SO-4CA"/>
      <sheetName val="S-SO-5CA"/>
      <sheetName val="S-SE-5"/>
      <sheetName val="S-SE-4CN"/>
      <sheetName val="S-SE-5CN"/>
      <sheetName val="S-SE-4CA"/>
      <sheetName val="S-SE-5CA"/>
      <sheetName val="S-SE-6"/>
      <sheetName val="S-GE-5"/>
      <sheetName val="S-GE-4CN"/>
      <sheetName val="S-GE-5CN"/>
      <sheetName val="S-GE-4CA"/>
      <sheetName val="S-GE-5CA"/>
      <sheetName val="S-EN-5"/>
      <sheetName val="S-EN-4CA"/>
      <sheetName val="S-EN-4CAb"/>
      <sheetName val="S-SO-6"/>
      <sheetName val="S-GE-6"/>
      <sheetName val="S-SO-7"/>
      <sheetName val="S-GE-7"/>
      <sheetName val="S-EN-5CA"/>
      <sheetName val="S-EN-6"/>
      <sheetName val="S-EN-7"/>
      <sheetName val="S-SE-7"/>
      <sheetName val="S-GE-9"/>
      <sheetName val="S-EN-9"/>
      <sheetName val="S-SO-9"/>
      <sheetName val="S-SE-9"/>
      <sheetName val="S-GE-10"/>
      <sheetName val="S-EN-10"/>
      <sheetName val="S-SE-10"/>
      <sheetName val="S-SO-10"/>
      <sheetName val="S-SO-11"/>
      <sheetName val="S-EN-11"/>
      <sheetName val="S-GE-11"/>
      <sheetName val="S-SE-11"/>
      <sheetName val="S-C-11b"/>
      <sheetName val="S-C-13"/>
      <sheetName val="S-GE-14"/>
      <sheetName val="S-EN-14"/>
      <sheetName val="S-SO-14"/>
      <sheetName val="S-SE-14"/>
      <sheetName val="S-C-15"/>
      <sheetName val="S-GE-Instrucciones"/>
      <sheetName val="S-EN-Instrucciones"/>
      <sheetName val="S-SO-Instrucciones"/>
      <sheetName val="S-SE-Instrucciones"/>
      <sheetName val="T-GE-Instrucciones"/>
      <sheetName val="T-EN-Instrucciones"/>
      <sheetName val="T-SO-Instrucciones"/>
      <sheetName val="T-SE-Instrucciones"/>
      <sheetName val="TAX_S_SO"/>
      <sheetName val="TAX_S_GE"/>
      <sheetName val="TAX_T_GE"/>
      <sheetName val="TAX_S_EN"/>
      <sheetName val="TAX_T_SE"/>
      <sheetName val="TAX_S_SE"/>
      <sheetName val="TAX_T_EN"/>
      <sheetName val="TAX_T_SO"/>
      <sheetName val="Listas"/>
      <sheetName val="Multiidioma"/>
      <sheetName val="R1"/>
      <sheetName val="Pará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8">
          <cell r="A8" t="str">
            <v>ESPAÑA</v>
          </cell>
        </row>
        <row r="9">
          <cell r="A9" t="str">
            <v>AFGANISTÁN</v>
          </cell>
        </row>
        <row r="10">
          <cell r="A10" t="str">
            <v>ALBANIA</v>
          </cell>
        </row>
        <row r="11">
          <cell r="A11" t="str">
            <v>ALEMANIA</v>
          </cell>
        </row>
        <row r="12">
          <cell r="A12" t="str">
            <v>ANDORRA</v>
          </cell>
        </row>
        <row r="13">
          <cell r="A13" t="str">
            <v>ANGOLA</v>
          </cell>
        </row>
        <row r="14">
          <cell r="A14" t="str">
            <v>ANGUILA</v>
          </cell>
        </row>
        <row r="15">
          <cell r="A15" t="str">
            <v>ANTÁRTIDA</v>
          </cell>
        </row>
        <row r="16">
          <cell r="A16" t="str">
            <v>ANTIGUA Y BARBUDA</v>
          </cell>
        </row>
        <row r="17">
          <cell r="A17" t="str">
            <v>ANTILLAS HOLANDESAS</v>
          </cell>
        </row>
        <row r="18">
          <cell r="A18" t="str">
            <v>ARABIA SAUDITA</v>
          </cell>
        </row>
        <row r="19">
          <cell r="A19" t="str">
            <v>ARGELIA</v>
          </cell>
        </row>
        <row r="20">
          <cell r="A20" t="str">
            <v>ARGENTINA</v>
          </cell>
        </row>
        <row r="21">
          <cell r="A21" t="str">
            <v>ARMENIA</v>
          </cell>
        </row>
        <row r="22">
          <cell r="A22" t="str">
            <v>ARUBA</v>
          </cell>
        </row>
        <row r="23">
          <cell r="A23" t="str">
            <v>AUSTRALIA</v>
          </cell>
        </row>
        <row r="24">
          <cell r="A24" t="str">
            <v>AUSTRIA</v>
          </cell>
        </row>
        <row r="25">
          <cell r="A25" t="str">
            <v>AZERBAIYÁN</v>
          </cell>
        </row>
        <row r="26">
          <cell r="A26" t="str">
            <v>BAHAMAS</v>
          </cell>
        </row>
        <row r="27">
          <cell r="A27" t="str">
            <v>BAHREIN</v>
          </cell>
        </row>
        <row r="28">
          <cell r="A28" t="str">
            <v>BANGLADESH</v>
          </cell>
        </row>
        <row r="29">
          <cell r="A29" t="str">
            <v>BARBADOS</v>
          </cell>
        </row>
        <row r="30">
          <cell r="A30" t="str">
            <v>BÉLGICA</v>
          </cell>
        </row>
        <row r="31">
          <cell r="A31" t="str">
            <v>BELICE</v>
          </cell>
        </row>
        <row r="32">
          <cell r="A32" t="str">
            <v>BENÁN</v>
          </cell>
        </row>
        <row r="33">
          <cell r="A33" t="str">
            <v>BERMUDAS</v>
          </cell>
        </row>
        <row r="34">
          <cell r="A34" t="str">
            <v>BIELORRUSIA</v>
          </cell>
        </row>
        <row r="35">
          <cell r="A35" t="str">
            <v>BOLIVIA</v>
          </cell>
        </row>
        <row r="36">
          <cell r="A36" t="str">
            <v>BOSNIA-HERZEGOVINA</v>
          </cell>
        </row>
        <row r="37">
          <cell r="A37" t="str">
            <v>BOTSWANA</v>
          </cell>
        </row>
        <row r="38">
          <cell r="A38" t="str">
            <v>BRASIL</v>
          </cell>
        </row>
        <row r="39">
          <cell r="A39" t="str">
            <v>BRUNEI</v>
          </cell>
        </row>
        <row r="40">
          <cell r="A40" t="str">
            <v>BULGARIA</v>
          </cell>
        </row>
        <row r="41">
          <cell r="A41" t="str">
            <v>BURKINA FASO</v>
          </cell>
        </row>
        <row r="42">
          <cell r="A42" t="str">
            <v>BURUNDI</v>
          </cell>
        </row>
        <row r="43">
          <cell r="A43" t="str">
            <v>BUTÁN</v>
          </cell>
        </row>
        <row r="44">
          <cell r="A44" t="str">
            <v>CABO VERDE</v>
          </cell>
        </row>
        <row r="45">
          <cell r="A45" t="str">
            <v>CAMBOYA</v>
          </cell>
        </row>
        <row r="46">
          <cell r="A46" t="str">
            <v>CAMERÚN</v>
          </cell>
        </row>
        <row r="47">
          <cell r="A47" t="str">
            <v>CANADÁ</v>
          </cell>
        </row>
        <row r="48">
          <cell r="A48" t="str">
            <v>CHAD</v>
          </cell>
        </row>
        <row r="49">
          <cell r="A49" t="str">
            <v>CHILE</v>
          </cell>
        </row>
        <row r="50">
          <cell r="A50" t="str">
            <v>CHINA</v>
          </cell>
        </row>
        <row r="51">
          <cell r="A51" t="str">
            <v>CHIPRE</v>
          </cell>
        </row>
        <row r="52">
          <cell r="A52" t="str">
            <v>COCOS (KEELING)</v>
          </cell>
        </row>
        <row r="53">
          <cell r="A53" t="str">
            <v>COLOMBIA</v>
          </cell>
        </row>
        <row r="54">
          <cell r="A54" t="str">
            <v>COMORES</v>
          </cell>
        </row>
        <row r="55">
          <cell r="A55" t="str">
            <v>COSTA DEL MARFIL</v>
          </cell>
        </row>
        <row r="56">
          <cell r="A56" t="str">
            <v>COSTA RICA</v>
          </cell>
        </row>
        <row r="57">
          <cell r="A57" t="str">
            <v>CROACIA</v>
          </cell>
        </row>
        <row r="58">
          <cell r="A58" t="str">
            <v>CUBA</v>
          </cell>
        </row>
        <row r="59">
          <cell r="A59" t="str">
            <v>DINAMARCA</v>
          </cell>
        </row>
        <row r="60">
          <cell r="A60" t="str">
            <v>DJIBOUTI</v>
          </cell>
        </row>
        <row r="61">
          <cell r="A61" t="str">
            <v>DOMINICA</v>
          </cell>
        </row>
        <row r="62">
          <cell r="A62" t="str">
            <v>ECUADOR</v>
          </cell>
        </row>
        <row r="63">
          <cell r="A63" t="str">
            <v>EGIPTO</v>
          </cell>
        </row>
        <row r="64">
          <cell r="A64" t="str">
            <v>EL SALVADOR</v>
          </cell>
        </row>
        <row r="65">
          <cell r="A65" t="str">
            <v>EMIRATOS ÁRABES UNIDOS</v>
          </cell>
        </row>
        <row r="66">
          <cell r="A66" t="str">
            <v>ERITREA</v>
          </cell>
        </row>
        <row r="67">
          <cell r="A67" t="str">
            <v>ESLOVAQUIA</v>
          </cell>
        </row>
        <row r="68">
          <cell r="A68" t="str">
            <v>ESLOVENIA</v>
          </cell>
        </row>
        <row r="69">
          <cell r="A69" t="str">
            <v>ESTADOS FEDERADOS DE MICRONESIA</v>
          </cell>
        </row>
        <row r="70">
          <cell r="A70" t="str">
            <v>ESTADOS UNIDOS DE AMÉRICA</v>
          </cell>
        </row>
        <row r="71">
          <cell r="A71" t="str">
            <v>ESTONIA</v>
          </cell>
        </row>
        <row r="72">
          <cell r="A72" t="str">
            <v>ETIOPÍA</v>
          </cell>
        </row>
        <row r="73">
          <cell r="A73" t="str">
            <v>EX REPUBLICA YUGOSLAVA DE MACEDONIA</v>
          </cell>
        </row>
        <row r="74">
          <cell r="A74" t="str">
            <v>FEDERACIÓN RUSA</v>
          </cell>
        </row>
        <row r="75">
          <cell r="A75" t="str">
            <v>FILIPINAS</v>
          </cell>
        </row>
        <row r="76">
          <cell r="A76" t="str">
            <v>FINLANDIA</v>
          </cell>
        </row>
        <row r="77">
          <cell r="A77" t="str">
            <v>FRANCIA</v>
          </cell>
        </row>
        <row r="78">
          <cell r="A78" t="str">
            <v>GABÁN</v>
          </cell>
        </row>
        <row r="79">
          <cell r="A79" t="str">
            <v>GAMBIA</v>
          </cell>
        </row>
        <row r="80">
          <cell r="A80" t="str">
            <v>GEORGIA</v>
          </cell>
        </row>
        <row r="81">
          <cell r="A81" t="str">
            <v>GHANA</v>
          </cell>
        </row>
        <row r="82">
          <cell r="A82" t="str">
            <v>GIBRALTAR</v>
          </cell>
        </row>
        <row r="83">
          <cell r="A83" t="str">
            <v>GRANADA</v>
          </cell>
        </row>
        <row r="84">
          <cell r="A84" t="str">
            <v>GRECIA</v>
          </cell>
        </row>
        <row r="85">
          <cell r="A85" t="str">
            <v>GROENLANDIA</v>
          </cell>
        </row>
        <row r="86">
          <cell r="A86" t="str">
            <v>GUADALUPE</v>
          </cell>
        </row>
        <row r="87">
          <cell r="A87" t="str">
            <v>GUAM</v>
          </cell>
        </row>
        <row r="88">
          <cell r="A88" t="str">
            <v>GUATEMALA</v>
          </cell>
        </row>
        <row r="89">
          <cell r="A89" t="str">
            <v>GUAYANA FRANCESA</v>
          </cell>
        </row>
        <row r="90">
          <cell r="A90" t="str">
            <v>GUINEA</v>
          </cell>
        </row>
        <row r="91">
          <cell r="A91" t="str">
            <v>GUINEA ECUATORIAL</v>
          </cell>
        </row>
        <row r="92">
          <cell r="A92" t="str">
            <v>GUINEA-BISSAU</v>
          </cell>
        </row>
        <row r="93">
          <cell r="A93" t="str">
            <v>GUYANA</v>
          </cell>
        </row>
        <row r="94">
          <cell r="A94" t="str">
            <v>HAITÍ</v>
          </cell>
        </row>
        <row r="95">
          <cell r="A95" t="str">
            <v>HONDURAS</v>
          </cell>
        </row>
        <row r="96">
          <cell r="A96" t="str">
            <v>HONG KONG</v>
          </cell>
        </row>
        <row r="97">
          <cell r="A97" t="str">
            <v>HUNGRÍA</v>
          </cell>
        </row>
        <row r="98">
          <cell r="A98" t="str">
            <v>INDIA</v>
          </cell>
        </row>
        <row r="99">
          <cell r="A99" t="str">
            <v>INDONESIA</v>
          </cell>
        </row>
        <row r="100">
          <cell r="A100" t="str">
            <v>IRAK</v>
          </cell>
        </row>
        <row r="101">
          <cell r="A101" t="str">
            <v>IRLANDA</v>
          </cell>
        </row>
        <row r="102">
          <cell r="A102" t="str">
            <v>ISLA BOUVET</v>
          </cell>
        </row>
        <row r="103">
          <cell r="A103" t="str">
            <v>ISLA DE PASCUA</v>
          </cell>
        </row>
        <row r="104">
          <cell r="A104" t="str">
            <v>ISLA HEARD E ISLAS MCDONALD</v>
          </cell>
        </row>
        <row r="105">
          <cell r="A105" t="str">
            <v>ISLA NORFOLK</v>
          </cell>
        </row>
        <row r="106">
          <cell r="A106" t="str">
            <v>ISLANDIA</v>
          </cell>
        </row>
        <row r="107">
          <cell r="A107" t="str">
            <v>ISLAS CAIMÁN</v>
          </cell>
        </row>
        <row r="108">
          <cell r="A108" t="str">
            <v>ISLAS COOK</v>
          </cell>
        </row>
        <row r="109">
          <cell r="A109" t="str">
            <v>ISLAS FEROE</v>
          </cell>
        </row>
        <row r="110">
          <cell r="A110" t="str">
            <v>ISLAS FIDJI</v>
          </cell>
        </row>
        <row r="111">
          <cell r="A111" t="str">
            <v>ISLAS GEORGIA DEL SUR Y SANDWICH DEL SUR</v>
          </cell>
        </row>
        <row r="112">
          <cell r="A112" t="str">
            <v>ISLAS MALDIVAS</v>
          </cell>
        </row>
        <row r="113">
          <cell r="A113" t="str">
            <v>ISLAS MALVINAS (FALKLAND)</v>
          </cell>
        </row>
        <row r="114">
          <cell r="A114" t="str">
            <v>ISLAS MARIANAS SEPTENTRIONALES</v>
          </cell>
        </row>
        <row r="115">
          <cell r="A115" t="str">
            <v>ISLAS MARSHALL</v>
          </cell>
        </row>
        <row r="116">
          <cell r="A116" t="str">
            <v>ISLAS PERIFÉRICAS MENORES DE ESTADOS UNIDOS</v>
          </cell>
        </row>
        <row r="117">
          <cell r="A117" t="str">
            <v>ISLAS REUNIÓN</v>
          </cell>
        </row>
        <row r="118">
          <cell r="A118" t="str">
            <v>ISLAS SALOMÓN</v>
          </cell>
        </row>
        <row r="119">
          <cell r="A119" t="str">
            <v>ISLAS SEYCHELLES</v>
          </cell>
        </row>
        <row r="120">
          <cell r="A120" t="str">
            <v>ISLAS TURKS Y CAICOS</v>
          </cell>
        </row>
        <row r="121">
          <cell r="A121" t="str">
            <v>ISLAS VÍRGENES BRITÁNICAS</v>
          </cell>
        </row>
        <row r="122">
          <cell r="A122" t="str">
            <v>ISLAS VÍRGENES ESTADOUNIDENSES</v>
          </cell>
        </row>
        <row r="123">
          <cell r="A123" t="str">
            <v>ISRAEL</v>
          </cell>
        </row>
        <row r="124">
          <cell r="A124" t="str">
            <v>ITALIA</v>
          </cell>
        </row>
        <row r="125">
          <cell r="A125" t="str">
            <v>JAMAICA</v>
          </cell>
        </row>
        <row r="126">
          <cell r="A126" t="str">
            <v>JAPÁN</v>
          </cell>
        </row>
        <row r="127">
          <cell r="A127" t="str">
            <v>JORDANIA</v>
          </cell>
        </row>
        <row r="128">
          <cell r="A128" t="str">
            <v>KAZAJSTÁN</v>
          </cell>
        </row>
        <row r="129">
          <cell r="A129" t="str">
            <v>KENIA</v>
          </cell>
        </row>
        <row r="130">
          <cell r="A130" t="str">
            <v>KIRGUIZISTÁN</v>
          </cell>
        </row>
        <row r="131">
          <cell r="A131" t="str">
            <v>KIRIBATI</v>
          </cell>
        </row>
        <row r="132">
          <cell r="A132" t="str">
            <v>KUWAIT</v>
          </cell>
        </row>
        <row r="133">
          <cell r="A133" t="str">
            <v>LESOTHO</v>
          </cell>
        </row>
        <row r="134">
          <cell r="A134" t="str">
            <v>LETONIA</v>
          </cell>
        </row>
        <row r="135">
          <cell r="A135" t="str">
            <v>LÍBANO</v>
          </cell>
        </row>
        <row r="136">
          <cell r="A136" t="str">
            <v>LIBERIA</v>
          </cell>
        </row>
        <row r="137">
          <cell r="A137" t="str">
            <v>LIBIA</v>
          </cell>
        </row>
        <row r="138">
          <cell r="A138" t="str">
            <v>LIECHTENSTEIN</v>
          </cell>
        </row>
        <row r="139">
          <cell r="A139" t="str">
            <v>LITUANIA</v>
          </cell>
        </row>
        <row r="140">
          <cell r="A140" t="str">
            <v>LUXEMBURGO</v>
          </cell>
        </row>
        <row r="141">
          <cell r="A141" t="str">
            <v>MACAO</v>
          </cell>
        </row>
        <row r="142">
          <cell r="A142" t="str">
            <v>MADAGASCAR</v>
          </cell>
        </row>
        <row r="143">
          <cell r="A143" t="str">
            <v>MALASIA</v>
          </cell>
        </row>
        <row r="144">
          <cell r="A144" t="str">
            <v>MALAWI</v>
          </cell>
        </row>
        <row r="145">
          <cell r="A145" t="str">
            <v>MALI</v>
          </cell>
        </row>
        <row r="146">
          <cell r="A146" t="str">
            <v>MALTA</v>
          </cell>
        </row>
        <row r="147">
          <cell r="A147" t="str">
            <v>MARRUECOS</v>
          </cell>
        </row>
        <row r="148">
          <cell r="A148" t="str">
            <v>MARTINICA</v>
          </cell>
        </row>
        <row r="149">
          <cell r="A149" t="str">
            <v>MAURICIO</v>
          </cell>
        </row>
        <row r="150">
          <cell r="A150" t="str">
            <v>MAURITANIA</v>
          </cell>
        </row>
        <row r="151">
          <cell r="A151" t="str">
            <v>MAYOTTE</v>
          </cell>
        </row>
        <row r="152">
          <cell r="A152" t="str">
            <v>MÉJICO</v>
          </cell>
        </row>
        <row r="153">
          <cell r="A153" t="str">
            <v>MÓNACO</v>
          </cell>
        </row>
        <row r="154">
          <cell r="A154" t="str">
            <v>MONGOLIA</v>
          </cell>
        </row>
        <row r="155">
          <cell r="A155" t="str">
            <v>MONTSERRAT</v>
          </cell>
        </row>
        <row r="156">
          <cell r="A156" t="str">
            <v>MOZAMBIQUE</v>
          </cell>
        </row>
        <row r="157">
          <cell r="A157" t="str">
            <v>MYANMAR</v>
          </cell>
        </row>
        <row r="158">
          <cell r="A158" t="str">
            <v>NAMIBIA</v>
          </cell>
        </row>
        <row r="159">
          <cell r="A159" t="str">
            <v>NAURU</v>
          </cell>
        </row>
        <row r="160">
          <cell r="A160" t="str">
            <v>NEPAL</v>
          </cell>
        </row>
        <row r="161">
          <cell r="A161" t="str">
            <v>NICARAGUA</v>
          </cell>
        </row>
        <row r="162">
          <cell r="A162" t="str">
            <v>NÍGER</v>
          </cell>
        </row>
        <row r="163">
          <cell r="A163" t="str">
            <v>NIGERIA</v>
          </cell>
        </row>
        <row r="164">
          <cell r="A164" t="str">
            <v>NIUE</v>
          </cell>
        </row>
        <row r="165">
          <cell r="A165" t="str">
            <v>NORUEGA</v>
          </cell>
        </row>
        <row r="166">
          <cell r="A166" t="str">
            <v>NUEVA CALEDONIA</v>
          </cell>
        </row>
        <row r="167">
          <cell r="A167" t="str">
            <v>NUEVA ZELANDA</v>
          </cell>
        </row>
        <row r="168">
          <cell r="A168" t="str">
            <v>OMÁN</v>
          </cell>
        </row>
        <row r="169">
          <cell r="A169" t="str">
            <v>PAÍSES BAJOS</v>
          </cell>
        </row>
        <row r="170">
          <cell r="A170" t="str">
            <v>PAKISTÁN</v>
          </cell>
        </row>
        <row r="171">
          <cell r="A171" t="str">
            <v>PALAU</v>
          </cell>
        </row>
        <row r="172">
          <cell r="A172" t="str">
            <v>PANAMÁ</v>
          </cell>
        </row>
        <row r="173">
          <cell r="A173" t="str">
            <v>PAPUA-NUEVA GUINEA</v>
          </cell>
        </row>
        <row r="174">
          <cell r="A174" t="str">
            <v>PARAGUAY</v>
          </cell>
        </row>
        <row r="175">
          <cell r="A175" t="str">
            <v>PERÚ</v>
          </cell>
        </row>
        <row r="176">
          <cell r="A176" t="str">
            <v>PITCAIRN</v>
          </cell>
        </row>
        <row r="177">
          <cell r="A177" t="str">
            <v>POLINESIA FRANCESA</v>
          </cell>
        </row>
        <row r="178">
          <cell r="A178" t="str">
            <v>POLONIA</v>
          </cell>
        </row>
        <row r="179">
          <cell r="A179" t="str">
            <v>PORTUGAL</v>
          </cell>
        </row>
        <row r="180">
          <cell r="A180" t="str">
            <v>PUERTO RICO</v>
          </cell>
        </row>
        <row r="181">
          <cell r="A181" t="str">
            <v>QATAR</v>
          </cell>
        </row>
        <row r="182">
          <cell r="A182" t="str">
            <v>REINO UNIDO</v>
          </cell>
        </row>
        <row r="183">
          <cell r="A183" t="str">
            <v>REPÚBLICA ÁRABE SIRIA</v>
          </cell>
        </row>
        <row r="184">
          <cell r="A184" t="str">
            <v>REPÚBLICA CENTROAFRICANA</v>
          </cell>
        </row>
        <row r="185">
          <cell r="A185" t="str">
            <v>REPÚBLICA CHECA</v>
          </cell>
        </row>
        <row r="186">
          <cell r="A186" t="str">
            <v>REPÚBLICA DE COREA</v>
          </cell>
        </row>
        <row r="187">
          <cell r="A187" t="str">
            <v>REPÚBLICA DE MOLDAVIA</v>
          </cell>
        </row>
        <row r="188">
          <cell r="A188" t="str">
            <v>REPÚBLICA DE TANZANIA</v>
          </cell>
        </row>
        <row r="189">
          <cell r="A189" t="str">
            <v>REPÚBLICA DEL CONGO</v>
          </cell>
        </row>
        <row r="190">
          <cell r="A190" t="str">
            <v>REPÚBLICA DEMOCRÁTICA DEL CONGO</v>
          </cell>
        </row>
        <row r="191">
          <cell r="A191" t="str">
            <v>REPÚBLICA DEMOCRÁTICA POPULAR DE COREA</v>
          </cell>
        </row>
        <row r="192">
          <cell r="A192" t="str">
            <v>REPÚBLICA DEMOCRÁTICA POPULAR DE LAOS</v>
          </cell>
        </row>
        <row r="193">
          <cell r="A193" t="str">
            <v>REPÚBLICA DOMINICANA</v>
          </cell>
        </row>
        <row r="194">
          <cell r="A194" t="str">
            <v>REPÚBLICA ISLÁMICA DE IRÁN</v>
          </cell>
        </row>
        <row r="195">
          <cell r="A195" t="str">
            <v>RUANDA</v>
          </cell>
        </row>
        <row r="196">
          <cell r="A196" t="str">
            <v>RUMANIA</v>
          </cell>
        </row>
        <row r="197">
          <cell r="A197" t="str">
            <v>SAHARA OCCIDENTAL</v>
          </cell>
        </row>
        <row r="198">
          <cell r="A198" t="str">
            <v>SAINT KITTS Y NEVIS</v>
          </cell>
        </row>
        <row r="199">
          <cell r="A199" t="str">
            <v>SAINT PIERRE Y MIQUELON</v>
          </cell>
        </row>
        <row r="200">
          <cell r="A200" t="str">
            <v>SAMOA</v>
          </cell>
        </row>
        <row r="201">
          <cell r="A201" t="str">
            <v>SAMOA ESTADOUNIDENSE</v>
          </cell>
        </row>
        <row r="202">
          <cell r="A202" t="str">
            <v>SAN MARINO</v>
          </cell>
        </row>
        <row r="203">
          <cell r="A203" t="str">
            <v>SAN VICENTE Y GRANADINAS</v>
          </cell>
        </row>
        <row r="204">
          <cell r="A204" t="str">
            <v>SANTA ELENA</v>
          </cell>
        </row>
        <row r="205">
          <cell r="A205" t="str">
            <v>SANTA LUCÍA</v>
          </cell>
        </row>
        <row r="206">
          <cell r="A206" t="str">
            <v>SANTA SEDE (ESTADO DE LA CIUDAD DEL VATICANO)</v>
          </cell>
        </row>
        <row r="207">
          <cell r="A207" t="str">
            <v>SANTO TOMÉ Y PRÍNCIPE</v>
          </cell>
        </row>
        <row r="208">
          <cell r="A208" t="str">
            <v>SENEGAL</v>
          </cell>
        </row>
        <row r="209">
          <cell r="A209" t="str">
            <v>SERBIA Y MONTENEGRO</v>
          </cell>
        </row>
        <row r="210">
          <cell r="A210" t="str">
            <v>SIERRA LEONA</v>
          </cell>
        </row>
        <row r="211">
          <cell r="A211" t="str">
            <v>SINGAPUR</v>
          </cell>
        </row>
        <row r="212">
          <cell r="A212" t="str">
            <v>SOMALIA</v>
          </cell>
        </row>
        <row r="213">
          <cell r="A213" t="str">
            <v>SRI LANKA</v>
          </cell>
        </row>
        <row r="214">
          <cell r="A214" t="str">
            <v>SUAZILANDIA</v>
          </cell>
        </row>
        <row r="215">
          <cell r="A215" t="str">
            <v>SUDÁFRICA</v>
          </cell>
        </row>
        <row r="216">
          <cell r="A216" t="str">
            <v>SUDÁN</v>
          </cell>
        </row>
        <row r="217">
          <cell r="A217" t="str">
            <v>SUECIA</v>
          </cell>
        </row>
        <row r="218">
          <cell r="A218" t="str">
            <v>SUIZA</v>
          </cell>
        </row>
        <row r="219">
          <cell r="A219" t="str">
            <v>SURINAM</v>
          </cell>
        </row>
        <row r="220">
          <cell r="A220" t="str">
            <v>SVALVARD Y JAN MAYEN</v>
          </cell>
        </row>
        <row r="221">
          <cell r="A221" t="str">
            <v>TADJIKISTÁN</v>
          </cell>
        </row>
        <row r="222">
          <cell r="A222" t="str">
            <v>TAILANDIA</v>
          </cell>
        </row>
        <row r="223">
          <cell r="A223" t="str">
            <v>TAIYUAN, PROVINCIA DE CHINA</v>
          </cell>
        </row>
        <row r="224">
          <cell r="A224" t="str">
            <v>TERRITORIO BRITÁNICO DEL OCÉANO ÍNDICO</v>
          </cell>
        </row>
        <row r="225">
          <cell r="A225" t="str">
            <v>TERRITORIO PALESTINO OCUPADO</v>
          </cell>
        </row>
        <row r="226">
          <cell r="A226" t="str">
            <v>TERRITORIOS DEL SUR DE FRANCIA</v>
          </cell>
        </row>
        <row r="227">
          <cell r="A227" t="str">
            <v>TIMOR-LESTE</v>
          </cell>
        </row>
        <row r="228">
          <cell r="A228" t="str">
            <v>TOGO</v>
          </cell>
        </row>
        <row r="229">
          <cell r="A229" t="str">
            <v>TOKELAU</v>
          </cell>
        </row>
        <row r="230">
          <cell r="A230" t="str">
            <v>TONGA</v>
          </cell>
        </row>
        <row r="231">
          <cell r="A231" t="str">
            <v>TRINIDAD Y TOBAGO</v>
          </cell>
        </row>
        <row r="232">
          <cell r="A232" t="str">
            <v>TÚNEZ</v>
          </cell>
        </row>
        <row r="233">
          <cell r="A233" t="str">
            <v>TURKMENISTÁN</v>
          </cell>
        </row>
        <row r="234">
          <cell r="A234" t="str">
            <v>TURQUÍA</v>
          </cell>
        </row>
        <row r="235">
          <cell r="A235" t="str">
            <v>TUVALU</v>
          </cell>
        </row>
        <row r="236">
          <cell r="A236" t="str">
            <v>UCRANIA</v>
          </cell>
        </row>
        <row r="237">
          <cell r="A237" t="str">
            <v>UGANDA</v>
          </cell>
        </row>
        <row r="238">
          <cell r="A238" t="str">
            <v>URUGUAY</v>
          </cell>
        </row>
        <row r="239">
          <cell r="A239" t="str">
            <v>UZBEKISTÁN</v>
          </cell>
        </row>
        <row r="240">
          <cell r="A240" t="str">
            <v>VANUATU</v>
          </cell>
        </row>
        <row r="241">
          <cell r="A241" t="str">
            <v>VENEZUELA</v>
          </cell>
        </row>
        <row r="242">
          <cell r="A242" t="str">
            <v>VIETNAM</v>
          </cell>
        </row>
        <row r="243">
          <cell r="A243" t="str">
            <v>WALLIS Y FUTUNA</v>
          </cell>
        </row>
        <row r="244">
          <cell r="A244" t="str">
            <v>YEMEN</v>
          </cell>
        </row>
        <row r="245">
          <cell r="A245" t="str">
            <v>ZAMBIA</v>
          </cell>
        </row>
        <row r="246">
          <cell r="A246" t="str">
            <v>ZIMBABWE</v>
          </cell>
        </row>
        <row r="248">
          <cell r="A248" t="str">
            <v>Emisiones</v>
          </cell>
        </row>
        <row r="249">
          <cell r="A249" t="str">
            <v>Reembolsos</v>
          </cell>
        </row>
        <row r="250">
          <cell r="A250" t="str">
            <v>Cancelaciones</v>
          </cell>
        </row>
      </sheetData>
      <sheetData sheetId="80" refreshError="1"/>
      <sheetData sheetId="81" refreshError="1"/>
      <sheetData sheetId="8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s>
    <sheetDataSet>
      <sheetData sheetId="0" refreshError="1">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RESUMEN"/>
      <sheetName val="OPWSS"/>
      <sheetName val="OF1396"/>
      <sheetName val="OF0997"/>
      <sheetName val="OF997(DEUDA)"/>
      <sheetName val="OF0061"/>
      <sheetName val="INVERSESTRUCT"/>
      <sheetName val="OF0035"/>
      <sheetName val="OF2005"/>
      <sheetName val="OF4119"/>
      <sheetName val="OF.9857"/>
      <sheetName val="BBVANY Y BRUSELAS"/>
      <sheetName val="JERSEY"/>
      <sheetName val="PTORICO"/>
      <sheetName val="BNAPORT"/>
      <sheetName val="BCOEXCEL"/>
      <sheetName val="GIBRALTAR"/>
      <sheetName val="BBVAGLOBAL"/>
      <sheetName val="BBVAGLOBAL(SUB)"/>
      <sheetName val="BBVINTLTD"/>
      <sheetName val="CANAL Y BV AMERICA"/>
      <sheetName val="BBVACAPITAL"/>
      <sheetName val="BBVACAPFUND"/>
      <sheetName val="ARGPREFERRED"/>
      <sheetName val="BCL"/>
      <sheetName val="FINANZIA wss"/>
      <sheetName val="PILOT wss"/>
      <sheetName val="PRIV-SUIZA-wss "/>
      <sheetName val="BCOSMULTI"/>
      <sheetName val="RESBAN(UE)"/>
      <sheetName val="BCOS CENTRALES"/>
      <sheetName val="CAJAS"/>
      <sheetName val="ICO"/>
      <sheetName val="DIV &quot;IN&quot;"/>
      <sheetName val="SALDOSMEDIOS"/>
      <sheetName val="UPFRONT"/>
      <sheetName val="Mod 7250 (act)"/>
      <sheetName val="Mod 7250  (Ant.)"/>
      <sheetName val="REG.ORIGINAL"/>
      <sheetName val="Hoja1"/>
      <sheetName val="Mod 7250(ANTIGUO)"/>
      <sheetName val="BBVANY"/>
    </sheetNames>
    <sheetDataSet>
      <sheetData sheetId="0" refreshError="1">
        <row r="10">
          <cell r="A10" t="str">
            <v>ALL</v>
          </cell>
          <cell r="C10">
            <v>0</v>
          </cell>
          <cell r="D10">
            <v>0</v>
          </cell>
          <cell r="E10">
            <v>2</v>
          </cell>
        </row>
        <row r="11">
          <cell r="A11" t="str">
            <v>ARS</v>
          </cell>
          <cell r="C11">
            <v>0</v>
          </cell>
          <cell r="D11">
            <v>0</v>
          </cell>
          <cell r="E11">
            <v>2</v>
          </cell>
        </row>
        <row r="12">
          <cell r="A12" t="str">
            <v>ATS</v>
          </cell>
          <cell r="C12">
            <v>7.2672834167859704E-2</v>
          </cell>
          <cell r="D12">
            <v>12.091742185853505</v>
          </cell>
          <cell r="E12">
            <v>2</v>
          </cell>
        </row>
        <row r="13">
          <cell r="A13" t="str">
            <v>AUD</v>
          </cell>
          <cell r="B13">
            <v>1.728</v>
          </cell>
          <cell r="C13">
            <v>0.57870370370370372</v>
          </cell>
          <cell r="D13">
            <v>96.288194444444443</v>
          </cell>
          <cell r="E13">
            <v>2</v>
          </cell>
          <cell r="F13">
            <v>19</v>
          </cell>
        </row>
        <row r="14">
          <cell r="A14" t="str">
            <v>BEF</v>
          </cell>
          <cell r="C14">
            <v>2.4789352477323941E-2</v>
          </cell>
          <cell r="D14">
            <v>4.1246012012920215</v>
          </cell>
          <cell r="E14">
            <v>0</v>
          </cell>
        </row>
        <row r="15">
          <cell r="A15" t="str">
            <v>BGL</v>
          </cell>
          <cell r="C15">
            <v>0</v>
          </cell>
          <cell r="D15">
            <v>0</v>
          </cell>
          <cell r="E15">
            <v>2</v>
          </cell>
        </row>
        <row r="16">
          <cell r="A16" t="str">
            <v>BOB</v>
          </cell>
          <cell r="C16">
            <v>0</v>
          </cell>
          <cell r="D16">
            <v>0</v>
          </cell>
          <cell r="E16">
            <v>2</v>
          </cell>
        </row>
        <row r="17">
          <cell r="A17" t="str">
            <v>BRL</v>
          </cell>
          <cell r="B17">
            <v>2.0476999999999999</v>
          </cell>
          <cell r="C17">
            <v>0.48835278605264448</v>
          </cell>
          <cell r="D17">
            <v>81.255066660155308</v>
          </cell>
          <cell r="E17">
            <v>2</v>
          </cell>
          <cell r="F17">
            <v>32</v>
          </cell>
        </row>
        <row r="18">
          <cell r="A18" t="str">
            <v>BYR</v>
          </cell>
          <cell r="C18">
            <v>0</v>
          </cell>
          <cell r="D18">
            <v>0</v>
          </cell>
          <cell r="E18">
            <v>2</v>
          </cell>
        </row>
        <row r="19">
          <cell r="A19" t="str">
            <v>CAD</v>
          </cell>
          <cell r="B19">
            <v>1.4077</v>
          </cell>
          <cell r="C19">
            <v>0.71037863181075511</v>
          </cell>
          <cell r="D19">
            <v>118.1970590324643</v>
          </cell>
          <cell r="E19">
            <v>2</v>
          </cell>
          <cell r="F19" t="str">
            <v>04</v>
          </cell>
        </row>
        <row r="20">
          <cell r="A20" t="str">
            <v>CHF</v>
          </cell>
          <cell r="B20">
            <v>1.4829000000000001</v>
          </cell>
          <cell r="C20">
            <v>0.6743543057522422</v>
          </cell>
          <cell r="D20">
            <v>112.20311551689257</v>
          </cell>
          <cell r="E20">
            <v>2</v>
          </cell>
          <cell r="F20" t="str">
            <v>06</v>
          </cell>
        </row>
        <row r="21">
          <cell r="A21" t="str">
            <v>CLP</v>
          </cell>
          <cell r="C21">
            <v>0</v>
          </cell>
          <cell r="D21">
            <v>0</v>
          </cell>
          <cell r="E21">
            <v>2</v>
          </cell>
        </row>
        <row r="22">
          <cell r="A22" t="str">
            <v>CNY</v>
          </cell>
          <cell r="C22">
            <v>0</v>
          </cell>
          <cell r="D22">
            <v>0</v>
          </cell>
          <cell r="E22">
            <v>2</v>
          </cell>
        </row>
        <row r="23">
          <cell r="A23" t="str">
            <v>COP</v>
          </cell>
          <cell r="B23">
            <v>2017.07538</v>
          </cell>
          <cell r="C23">
            <v>4.9576729254411896E-4</v>
          </cell>
          <cell r="D23">
            <v>8.2488736737245771E-2</v>
          </cell>
          <cell r="E23">
            <v>2</v>
          </cell>
          <cell r="F23">
            <v>33</v>
          </cell>
        </row>
        <row r="24">
          <cell r="A24" t="str">
            <v>CRC</v>
          </cell>
          <cell r="C24">
            <v>0</v>
          </cell>
          <cell r="D24">
            <v>0</v>
          </cell>
          <cell r="E24">
            <v>2</v>
          </cell>
        </row>
        <row r="25">
          <cell r="A25" t="str">
            <v>CYP</v>
          </cell>
          <cell r="C25">
            <v>0</v>
          </cell>
          <cell r="D25">
            <v>0</v>
          </cell>
          <cell r="E25">
            <v>2</v>
          </cell>
        </row>
        <row r="26">
          <cell r="A26" t="str">
            <v>CZK</v>
          </cell>
          <cell r="C26">
            <v>0</v>
          </cell>
          <cell r="D26">
            <v>0</v>
          </cell>
          <cell r="E26">
            <v>2</v>
          </cell>
        </row>
        <row r="27">
          <cell r="A27" t="str">
            <v>DEM</v>
          </cell>
          <cell r="B27">
            <v>1.95583</v>
          </cell>
          <cell r="C27">
            <v>0.51129188119621849</v>
          </cell>
          <cell r="D27">
            <v>85.071810944714002</v>
          </cell>
          <cell r="E27">
            <v>2</v>
          </cell>
          <cell r="F27" t="str">
            <v>05</v>
          </cell>
        </row>
        <row r="28">
          <cell r="A28" t="str">
            <v>DKK</v>
          </cell>
          <cell r="B28">
            <v>7.4364999999999997</v>
          </cell>
          <cell r="C28">
            <v>0.13447186176292611</v>
          </cell>
          <cell r="D28">
            <v>22.374235191286225</v>
          </cell>
          <cell r="E28">
            <v>2</v>
          </cell>
          <cell r="F28">
            <v>12</v>
          </cell>
        </row>
        <row r="29">
          <cell r="A29" t="str">
            <v>ECS</v>
          </cell>
          <cell r="C29">
            <v>0</v>
          </cell>
          <cell r="D29">
            <v>0</v>
          </cell>
          <cell r="E29">
            <v>2</v>
          </cell>
        </row>
        <row r="30">
          <cell r="A30" t="str">
            <v>EEK</v>
          </cell>
          <cell r="C30">
            <v>0</v>
          </cell>
          <cell r="D30">
            <v>0</v>
          </cell>
          <cell r="E30">
            <v>0</v>
          </cell>
        </row>
        <row r="31">
          <cell r="A31" t="str">
            <v>EGP</v>
          </cell>
          <cell r="C31">
            <v>0</v>
          </cell>
          <cell r="D31">
            <v>0</v>
          </cell>
          <cell r="E31">
            <v>2</v>
          </cell>
        </row>
        <row r="32">
          <cell r="A32" t="str">
            <v>ESB</v>
          </cell>
          <cell r="C32">
            <v>6.0101210438378233E-3</v>
          </cell>
          <cell r="D32">
            <v>1</v>
          </cell>
          <cell r="E32">
            <v>0</v>
          </cell>
          <cell r="F32" t="str">
            <v>00</v>
          </cell>
        </row>
        <row r="33">
          <cell r="A33" t="str">
            <v>ESP</v>
          </cell>
          <cell r="C33">
            <v>6.0101210438378233E-3</v>
          </cell>
          <cell r="D33">
            <v>1</v>
          </cell>
          <cell r="E33">
            <v>0</v>
          </cell>
          <cell r="F33" t="str">
            <v>00</v>
          </cell>
        </row>
        <row r="34">
          <cell r="A34" t="str">
            <v>EUR</v>
          </cell>
          <cell r="B34">
            <v>1</v>
          </cell>
          <cell r="C34">
            <v>1</v>
          </cell>
          <cell r="D34">
            <v>166.386</v>
          </cell>
          <cell r="E34">
            <v>2</v>
          </cell>
          <cell r="F34">
            <v>31</v>
          </cell>
        </row>
        <row r="35">
          <cell r="A35" t="str">
            <v>FIM</v>
          </cell>
          <cell r="B35">
            <v>5.9457300000000002</v>
          </cell>
          <cell r="C35">
            <v>0.16818792646151104</v>
          </cell>
          <cell r="D35">
            <v>27.984116332224975</v>
          </cell>
          <cell r="E35">
            <v>2</v>
          </cell>
          <cell r="F35">
            <v>15</v>
          </cell>
        </row>
        <row r="36">
          <cell r="A36" t="str">
            <v>FRF</v>
          </cell>
          <cell r="B36">
            <v>6.5595699999999999</v>
          </cell>
          <cell r="C36">
            <v>0.15244901723741039</v>
          </cell>
          <cell r="D36">
            <v>25.365382182063765</v>
          </cell>
          <cell r="E36">
            <v>2</v>
          </cell>
          <cell r="F36" t="str">
            <v>01</v>
          </cell>
        </row>
        <row r="37">
          <cell r="A37" t="str">
            <v>GBP</v>
          </cell>
          <cell r="B37">
            <v>0.60850000000000004</v>
          </cell>
          <cell r="C37">
            <v>1.6433853738701725</v>
          </cell>
          <cell r="D37">
            <v>273.43631881676254</v>
          </cell>
          <cell r="E37">
            <v>2</v>
          </cell>
          <cell r="F37" t="str">
            <v>02</v>
          </cell>
        </row>
        <row r="38">
          <cell r="A38" t="str">
            <v>GRD</v>
          </cell>
          <cell r="B38">
            <v>340.75</v>
          </cell>
          <cell r="C38">
            <v>2.93470286133529E-3</v>
          </cell>
          <cell r="D38">
            <v>0.48829347028613357</v>
          </cell>
          <cell r="E38">
            <v>0</v>
          </cell>
          <cell r="F38">
            <v>23</v>
          </cell>
        </row>
        <row r="39">
          <cell r="A39" t="str">
            <v>HKD</v>
          </cell>
          <cell r="B39">
            <v>6.8723000000000001</v>
          </cell>
          <cell r="C39">
            <v>0.14551169186444129</v>
          </cell>
          <cell r="D39">
            <v>24.211108362556928</v>
          </cell>
          <cell r="E39">
            <v>2</v>
          </cell>
          <cell r="F39">
            <v>37</v>
          </cell>
        </row>
        <row r="40">
          <cell r="A40" t="str">
            <v>HRK</v>
          </cell>
          <cell r="C40">
            <v>0</v>
          </cell>
          <cell r="D40">
            <v>0</v>
          </cell>
          <cell r="E40">
            <v>2</v>
          </cell>
        </row>
        <row r="41">
          <cell r="A41" t="str">
            <v>HUF</v>
          </cell>
          <cell r="C41">
            <v>0</v>
          </cell>
          <cell r="D41">
            <v>0</v>
          </cell>
          <cell r="E41">
            <v>2</v>
          </cell>
        </row>
        <row r="42">
          <cell r="A42" t="str">
            <v>IDR</v>
          </cell>
          <cell r="C42">
            <v>0</v>
          </cell>
          <cell r="D42">
            <v>0</v>
          </cell>
          <cell r="E42">
            <v>2</v>
          </cell>
        </row>
        <row r="43">
          <cell r="A43" t="str">
            <v>IEP</v>
          </cell>
          <cell r="C43">
            <v>1.2697380784291816</v>
          </cell>
          <cell r="D43">
            <v>211.26663991751781</v>
          </cell>
          <cell r="E43">
            <v>2</v>
          </cell>
        </row>
        <row r="44">
          <cell r="A44" t="str">
            <v>ITL</v>
          </cell>
          <cell r="B44">
            <v>1936.27</v>
          </cell>
          <cell r="C44">
            <v>5.1645689908948644E-4</v>
          </cell>
          <cell r="D44">
            <v>8.5931197611903293E-2</v>
          </cell>
          <cell r="E44">
            <v>0</v>
          </cell>
          <cell r="F44">
            <v>13</v>
          </cell>
        </row>
        <row r="45">
          <cell r="A45" t="str">
            <v>JPY</v>
          </cell>
          <cell r="B45">
            <v>115.33</v>
          </cell>
          <cell r="C45">
            <v>8.6707708315269232E-3</v>
          </cell>
          <cell r="D45">
            <v>1.4426948755744387</v>
          </cell>
          <cell r="E45">
            <v>0</v>
          </cell>
          <cell r="F45">
            <v>16</v>
          </cell>
        </row>
        <row r="46">
          <cell r="A46" t="str">
            <v>KRW</v>
          </cell>
          <cell r="C46">
            <v>0</v>
          </cell>
          <cell r="D46">
            <v>0</v>
          </cell>
          <cell r="E46">
            <v>2</v>
          </cell>
        </row>
        <row r="47">
          <cell r="A47" t="str">
            <v>LTL</v>
          </cell>
          <cell r="C47">
            <v>0</v>
          </cell>
          <cell r="D47">
            <v>0</v>
          </cell>
          <cell r="E47">
            <v>2</v>
          </cell>
        </row>
        <row r="48">
          <cell r="A48" t="str">
            <v>LVL</v>
          </cell>
          <cell r="C48">
            <v>0</v>
          </cell>
          <cell r="D48">
            <v>0</v>
          </cell>
          <cell r="E48">
            <v>2</v>
          </cell>
        </row>
        <row r="49">
          <cell r="A49" t="str">
            <v>MAD</v>
          </cell>
          <cell r="C49">
            <v>0</v>
          </cell>
          <cell r="D49">
            <v>0</v>
          </cell>
          <cell r="E49">
            <v>2</v>
          </cell>
        </row>
        <row r="50">
          <cell r="A50" t="str">
            <v>MXN</v>
          </cell>
          <cell r="C50">
            <v>0</v>
          </cell>
          <cell r="D50">
            <v>0</v>
          </cell>
          <cell r="E50">
            <v>2</v>
          </cell>
        </row>
        <row r="51">
          <cell r="A51" t="str">
            <v>MYR</v>
          </cell>
          <cell r="C51">
            <v>0</v>
          </cell>
          <cell r="D51">
            <v>0</v>
          </cell>
          <cell r="E51">
            <v>2</v>
          </cell>
        </row>
        <row r="52">
          <cell r="A52" t="str">
            <v>NLG</v>
          </cell>
          <cell r="B52">
            <v>2.2037100000000001</v>
          </cell>
          <cell r="C52">
            <v>0.45378021609013891</v>
          </cell>
          <cell r="D52">
            <v>75.502675034373851</v>
          </cell>
          <cell r="E52">
            <v>2</v>
          </cell>
          <cell r="F52" t="str">
            <v>08</v>
          </cell>
        </row>
        <row r="53">
          <cell r="A53" t="str">
            <v>NOK</v>
          </cell>
          <cell r="B53">
            <v>7.9515000000000002</v>
          </cell>
          <cell r="C53">
            <v>0.12576243476073695</v>
          </cell>
          <cell r="D53">
            <v>20.925108470099978</v>
          </cell>
          <cell r="E53">
            <v>2</v>
          </cell>
          <cell r="F53">
            <v>11</v>
          </cell>
        </row>
        <row r="54">
          <cell r="A54" t="str">
            <v>NZD</v>
          </cell>
          <cell r="B54">
            <v>2.1215000000000002</v>
          </cell>
          <cell r="C54">
            <v>0.47136460051850104</v>
          </cell>
          <cell r="D54">
            <v>78.42847042187131</v>
          </cell>
          <cell r="E54">
            <v>2</v>
          </cell>
          <cell r="F54">
            <v>25</v>
          </cell>
        </row>
        <row r="55">
          <cell r="A55" t="str">
            <v>PAB</v>
          </cell>
          <cell r="C55">
            <v>0</v>
          </cell>
          <cell r="D55">
            <v>0</v>
          </cell>
          <cell r="E55">
            <v>2</v>
          </cell>
        </row>
        <row r="56">
          <cell r="A56" t="str">
            <v>PEN</v>
          </cell>
          <cell r="C56">
            <v>0</v>
          </cell>
          <cell r="D56">
            <v>0</v>
          </cell>
          <cell r="E56">
            <v>2</v>
          </cell>
        </row>
        <row r="57">
          <cell r="A57" t="str">
            <v>PHP</v>
          </cell>
          <cell r="C57">
            <v>0</v>
          </cell>
          <cell r="D57">
            <v>0</v>
          </cell>
          <cell r="E57">
            <v>2</v>
          </cell>
        </row>
        <row r="58">
          <cell r="A58" t="str">
            <v>PLN</v>
          </cell>
          <cell r="C58">
            <v>0</v>
          </cell>
          <cell r="D58">
            <v>0</v>
          </cell>
          <cell r="E58">
            <v>2</v>
          </cell>
        </row>
        <row r="59">
          <cell r="A59" t="str">
            <v>PTA</v>
          </cell>
          <cell r="B59">
            <v>166.386</v>
          </cell>
          <cell r="C59">
            <v>6.0101210438378233E-3</v>
          </cell>
          <cell r="D59">
            <v>1</v>
          </cell>
          <cell r="E59">
            <v>0</v>
          </cell>
          <cell r="F59" t="str">
            <v>00</v>
          </cell>
        </row>
        <row r="60">
          <cell r="A60" t="str">
            <v>PTE</v>
          </cell>
          <cell r="B60">
            <v>200.482</v>
          </cell>
          <cell r="C60">
            <v>4.9879789706806597E-3</v>
          </cell>
          <cell r="D60">
            <v>0.82992986901567223</v>
          </cell>
          <cell r="E60">
            <v>0</v>
          </cell>
          <cell r="F60" t="str">
            <v>09</v>
          </cell>
        </row>
        <row r="61">
          <cell r="A61" t="str">
            <v>PYG</v>
          </cell>
          <cell r="C61">
            <v>0</v>
          </cell>
          <cell r="D61">
            <v>0</v>
          </cell>
          <cell r="E61">
            <v>2</v>
          </cell>
        </row>
        <row r="62">
          <cell r="A62" t="str">
            <v>ROL</v>
          </cell>
          <cell r="C62">
            <v>0</v>
          </cell>
          <cell r="D62">
            <v>0</v>
          </cell>
          <cell r="E62">
            <v>2</v>
          </cell>
        </row>
        <row r="63">
          <cell r="A63" t="str">
            <v>RUB</v>
          </cell>
          <cell r="C63">
            <v>0</v>
          </cell>
          <cell r="D63">
            <v>0</v>
          </cell>
          <cell r="E63">
            <v>2</v>
          </cell>
        </row>
        <row r="64">
          <cell r="A64" t="str">
            <v>SEK</v>
          </cell>
          <cell r="B64">
            <v>9.3011999999999997</v>
          </cell>
          <cell r="C64">
            <v>0.10751300907409797</v>
          </cell>
          <cell r="D64">
            <v>17.888659527802865</v>
          </cell>
          <cell r="E64">
            <v>2</v>
          </cell>
          <cell r="F64">
            <v>10</v>
          </cell>
        </row>
        <row r="65">
          <cell r="A65" t="str">
            <v>SGD</v>
          </cell>
          <cell r="C65">
            <v>0</v>
          </cell>
          <cell r="D65">
            <v>0</v>
          </cell>
          <cell r="E65">
            <v>2</v>
          </cell>
        </row>
        <row r="66">
          <cell r="A66" t="str">
            <v>SIT</v>
          </cell>
          <cell r="C66">
            <v>0</v>
          </cell>
          <cell r="D66">
            <v>0</v>
          </cell>
          <cell r="E66">
            <v>2</v>
          </cell>
        </row>
        <row r="67">
          <cell r="A67" t="str">
            <v>SKK</v>
          </cell>
          <cell r="C67">
            <v>0</v>
          </cell>
          <cell r="D67">
            <v>0</v>
          </cell>
          <cell r="E67">
            <v>2</v>
          </cell>
        </row>
        <row r="68">
          <cell r="A68" t="str">
            <v>SVC</v>
          </cell>
          <cell r="C68">
            <v>0</v>
          </cell>
          <cell r="D68">
            <v>0</v>
          </cell>
          <cell r="E68">
            <v>2</v>
          </cell>
        </row>
        <row r="69">
          <cell r="A69" t="str">
            <v>THB</v>
          </cell>
          <cell r="C69">
            <v>0</v>
          </cell>
          <cell r="D69">
            <v>0</v>
          </cell>
          <cell r="E69">
            <v>2</v>
          </cell>
        </row>
        <row r="70">
          <cell r="A70" t="str">
            <v>TRL</v>
          </cell>
          <cell r="C70">
            <v>0</v>
          </cell>
          <cell r="D70">
            <v>0</v>
          </cell>
          <cell r="E70">
            <v>2</v>
          </cell>
        </row>
        <row r="71">
          <cell r="A71" t="str">
            <v>TWD</v>
          </cell>
          <cell r="C71">
            <v>0</v>
          </cell>
          <cell r="D71">
            <v>0</v>
          </cell>
          <cell r="E71">
            <v>2</v>
          </cell>
        </row>
        <row r="72">
          <cell r="A72" t="str">
            <v>UAH</v>
          </cell>
          <cell r="C72">
            <v>0</v>
          </cell>
          <cell r="D72">
            <v>0</v>
          </cell>
          <cell r="E72">
            <v>2</v>
          </cell>
        </row>
        <row r="73">
          <cell r="A73" t="str">
            <v>USD</v>
          </cell>
          <cell r="B73">
            <v>0.88129999999999997</v>
          </cell>
          <cell r="C73">
            <v>1.1346873936230568</v>
          </cell>
          <cell r="D73">
            <v>188.79609667536593</v>
          </cell>
          <cell r="E73">
            <v>2</v>
          </cell>
          <cell r="F73" t="str">
            <v>03</v>
          </cell>
        </row>
        <row r="74">
          <cell r="A74" t="str">
            <v>UYU</v>
          </cell>
          <cell r="C74">
            <v>0</v>
          </cell>
          <cell r="D74">
            <v>0</v>
          </cell>
          <cell r="E74">
            <v>2</v>
          </cell>
        </row>
        <row r="75">
          <cell r="A75" t="str">
            <v>VEB</v>
          </cell>
          <cell r="C75">
            <v>0</v>
          </cell>
          <cell r="D75">
            <v>0</v>
          </cell>
          <cell r="E75">
            <v>2</v>
          </cell>
        </row>
        <row r="76">
          <cell r="A76" t="str">
            <v>XEU</v>
          </cell>
          <cell r="C76">
            <v>0</v>
          </cell>
          <cell r="D76">
            <v>0</v>
          </cell>
          <cell r="E76">
            <v>2</v>
          </cell>
        </row>
        <row r="77">
          <cell r="A77" t="str">
            <v>YUM</v>
          </cell>
          <cell r="C77">
            <v>0</v>
          </cell>
          <cell r="D77">
            <v>0</v>
          </cell>
          <cell r="E77">
            <v>2</v>
          </cell>
        </row>
        <row r="78">
          <cell r="A78" t="str">
            <v>ZAR</v>
          </cell>
          <cell r="C78">
            <v>0</v>
          </cell>
          <cell r="D78">
            <v>0</v>
          </cell>
          <cell r="E78">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EXTERIOR"/>
      <sheetName val="BRASIL"/>
      <sheetName val="CARTA"/>
      <sheetName val="MINORITARIOS"/>
      <sheetName val="DEP.SUBORD."/>
      <sheetName val="GENERICA"/>
      <sheetName val="BBV MEXICO"/>
      <sheetName val="TIT.CORPORATIVA"/>
      <sheetName val="efan01021"/>
      <sheetName val="ESSBASE_RESULT_Mes"/>
      <sheetName val="Bancomer"/>
      <sheetName val="NIE Input"/>
      <sheetName val="Modelo con dudosos Bruto (2)"/>
      <sheetName val="Margen14"/>
      <sheetName val="Compara-tipos"/>
      <sheetName val="Compara-escenarios"/>
      <sheetName val="España-BASE"/>
      <sheetName val="Modelo con dudosos Neto (2)"/>
      <sheetName val="España-ADV"/>
      <sheetName val="Tipos SSEEE Riesgo"/>
      <sheetName val="Matriz EUR"/>
      <sheetName val="Matriztiposponderados"/>
      <sheetName val="TABLA EURO def"/>
      <sheetName val="Spg_saldos"/>
      <sheetName val="Spg_Rtdos"/>
      <sheetName val="CSLEuro"/>
      <sheetName val="Hoja3"/>
      <sheetName val="México"/>
      <sheetName val="CSLBancoscentrales"/>
      <sheetName val="CSLplazo"/>
      <sheetName val="LQ Pasivo"/>
      <sheetName val="LQ Activo"/>
      <sheetName val="Hoja1"/>
      <sheetName val="VTO Mayorista"/>
      <sheetName val="Covered bond"/>
      <sheetName val="Senior debt"/>
      <sheetName val="Ajuste Other own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ones"/>
      <sheetName val="Previsiones"/>
      <sheetName val="Tipos de cambio"/>
      <sheetName val="Simulaciones"/>
      <sheetName val="Resumen"/>
      <sheetName val="RCE sim 3.0 Hip Nuevas"/>
      <sheetName val="afiliaciones"/>
      <sheetName val="CATALOGO PROMEX PARA ESPAÑA"/>
      <sheetName val="TARİH"/>
    </sheetNames>
    <sheetDataSet>
      <sheetData sheetId="0" refreshError="1">
        <row r="24">
          <cell r="L24">
            <v>2456.3912642597575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ones"/>
      <sheetName val="Previsiones"/>
      <sheetName val="Tipos de cambio"/>
      <sheetName val="Simulaciones"/>
      <sheetName val="Resumen"/>
    </sheetNames>
    <sheetDataSet>
      <sheetData sheetId="0" refreshError="1">
        <row r="24">
          <cell r="L24">
            <v>2456.3912642597575</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rrpp 2005"/>
      <sheetName val="prefe_subor"/>
      <sheetName val="Tabla_de_Tipos"/>
      <sheetName val="datos_rrpp"/>
      <sheetName val="datos_rrpp_medios"/>
      <sheetName val="datos_rrpp (2)"/>
      <sheetName val="datos_rrpp_medios (2)"/>
      <sheetName val="datos_rrpp (3)"/>
      <sheetName val="datos_rrpp_medios (3)"/>
      <sheetName val="SUMA"/>
      <sheetName val="SUMAMEDIOS"/>
      <sheetName val="consulta dc"/>
      <sheetName val="consulta peg"/>
      <sheetName val="consultamedios dc"/>
      <sheetName val="consultamedios peg"/>
      <sheetName val="sumarec"/>
      <sheetName val="sumamediosrec"/>
      <sheetName val="sumadac"/>
      <sheetName val="sumamediosdac"/>
      <sheetName val="consultarec dc"/>
      <sheetName val="consultarec ag"/>
      <sheetName val="consultarec oag"/>
      <sheetName val="consultarec ct"/>
      <sheetName val="consultarec peg"/>
      <sheetName val="consultarec ias"/>
      <sheetName val="consultarec medios dc"/>
      <sheetName val="consultarec medios ag"/>
      <sheetName val="consultarec medios oag"/>
      <sheetName val="consultarec medios ct"/>
      <sheetName val="consultarec medios peg"/>
      <sheetName val="consultarec medios ias"/>
      <sheetName val="consultadac dc"/>
      <sheetName val="consultadac ag"/>
      <sheetName val="consultadac oag"/>
      <sheetName val="consultadac ct"/>
      <sheetName val="consultadac peg"/>
      <sheetName val="consultadac ias"/>
      <sheetName val="consultadac medios dc"/>
      <sheetName val="consultadac medios ag"/>
      <sheetName val="consultadac medios oag"/>
      <sheetName val="consultadac medios ct"/>
      <sheetName val="consultadac medios peg"/>
      <sheetName val="consultadac medios ias"/>
      <sheetName val="unidades_anulacion_rtdosCC"/>
      <sheetName val="unidades_SIN_rtdosCC"/>
      <sheetName val="CONSULTA CSL FONDO COMERCIO"/>
      <sheetName val="consulta desglose corporativa"/>
      <sheetName val="TABLA_UNIDADES"/>
      <sheetName val="TABLA_EPIGRAFES"/>
      <sheetName val="statics"/>
      <sheetName val="DATOS"/>
      <sheetName val="PRC 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rrpp 2004"/>
      <sheetName val="america"/>
      <sheetName val="prefe_subor"/>
      <sheetName val="Tabla_de_Tipos"/>
      <sheetName val="datos_rrpp"/>
      <sheetName val="datos_rrpp_medios"/>
      <sheetName val="datos_rrpp (2)"/>
      <sheetName val="datos_rrpp_medios (2)"/>
      <sheetName val="datos_rrpp (3)"/>
      <sheetName val="datos_rrpp_medios (3)"/>
      <sheetName val="suma"/>
      <sheetName val="sumamedios"/>
      <sheetName val="sumarec"/>
      <sheetName val="sumamediosrec"/>
      <sheetName val="sumadac"/>
      <sheetName val="sumamediosdac"/>
      <sheetName val="consulta dc"/>
      <sheetName val="consulta peg"/>
      <sheetName val="consultamedios dc"/>
      <sheetName val="consultamedios peg"/>
      <sheetName val="consultarec dc"/>
      <sheetName val="consultarec ag"/>
      <sheetName val="consultarec oag"/>
      <sheetName val="consultarec ct"/>
      <sheetName val="consultarec peg"/>
      <sheetName val="consultarec ias"/>
      <sheetName val="consultarec medios dc"/>
      <sheetName val="consultarec medios ag"/>
      <sheetName val="consultarec medios oag"/>
      <sheetName val="consultarec medios ct"/>
      <sheetName val="consultarec medios peg"/>
      <sheetName val="consultarec medios ias"/>
      <sheetName val="consultadac dc"/>
      <sheetName val="consultadac ag"/>
      <sheetName val="consultadac oag"/>
      <sheetName val="consultadac ct"/>
      <sheetName val="consultadac peg"/>
      <sheetName val="consultadac ias"/>
      <sheetName val="consultadac medios dc"/>
      <sheetName val="consultadac medios ag"/>
      <sheetName val="consultadac medios oag"/>
      <sheetName val="consultadac medios ct"/>
      <sheetName val="consultadac medios peg"/>
      <sheetName val="consultadac medios ias"/>
      <sheetName val="CONSULTA CSL FONDO COMERCIO"/>
      <sheetName val="TABLA_UNIDADES"/>
      <sheetName val="unidades_anulacion_rtdosCC"/>
      <sheetName val="unidades_SIN_rtdosCC"/>
      <sheetName val="TABLA_EPIGRAFES"/>
      <sheetName val="consulta"/>
      <sheetName val="consultamedios"/>
      <sheetName val="consulta desglose corporativa"/>
    </sheetNames>
    <sheetDataSet>
      <sheetData sheetId="0" refreshError="1"/>
      <sheetData sheetId="1" refreshError="1"/>
      <sheetData sheetId="2" refreshError="1"/>
      <sheetData sheetId="3" refreshError="1">
        <row r="6">
          <cell r="B6" t="str">
            <v xml:space="preserve"> MIBOR año</v>
          </cell>
          <cell r="C6">
            <v>2.2999999999999998</v>
          </cell>
          <cell r="D6">
            <v>2.266</v>
          </cell>
          <cell r="E6">
            <v>2.2349999999999999</v>
          </cell>
          <cell r="F6">
            <v>2.2280000000000002</v>
          </cell>
          <cell r="G6">
            <v>2.2168000000000001</v>
          </cell>
          <cell r="H6">
            <v>2.2483686507936507</v>
          </cell>
          <cell r="I6">
            <v>2.2721985256289599</v>
          </cell>
          <cell r="J6">
            <v>2.2752882426752001</v>
          </cell>
          <cell r="K6">
            <v>2.2845683653303199</v>
          </cell>
          <cell r="L6">
            <v>2.2865173113118802</v>
          </cell>
          <cell r="M6">
            <v>2.2797532961603619</v>
          </cell>
          <cell r="N6">
            <v>2.2726092312880355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ERIVADOS"/>
      <sheetName val="C-V DIVISAS"/>
      <sheetName val="DPTOS. BBVA"/>
      <sheetName val="CUADREDPTOS"/>
      <sheetName val="DPTOS  BBVA - COMERCIO"/>
      <sheetName val="DPTOS COMERCIO"/>
    </sheetNames>
    <sheetDataSet>
      <sheetData sheetId="0" refreshError="1">
        <row r="11">
          <cell r="A11">
            <v>1</v>
          </cell>
          <cell r="B11" t="str">
            <v>BBV PRIVANZA INT'L. (GIBRALTAR) LTD.</v>
          </cell>
          <cell r="D11">
            <v>7672</v>
          </cell>
          <cell r="E11">
            <v>4612</v>
          </cell>
          <cell r="F11">
            <v>1344</v>
          </cell>
          <cell r="G11">
            <v>1573</v>
          </cell>
          <cell r="H11">
            <v>432</v>
          </cell>
          <cell r="I11">
            <v>6936</v>
          </cell>
          <cell r="J11">
            <v>3</v>
          </cell>
        </row>
        <row r="12">
          <cell r="A12">
            <v>2</v>
          </cell>
          <cell r="B12" t="str">
            <v>BBVA GLOBAL FINANCE, LTD.</v>
          </cell>
          <cell r="D12">
            <v>158</v>
          </cell>
          <cell r="E12">
            <v>964</v>
          </cell>
          <cell r="F12">
            <v>1344</v>
          </cell>
          <cell r="G12">
            <v>1573</v>
          </cell>
          <cell r="H12">
            <v>432</v>
          </cell>
          <cell r="I12">
            <v>6936</v>
          </cell>
          <cell r="J12">
            <v>3</v>
          </cell>
        </row>
        <row r="13">
          <cell r="A13">
            <v>3</v>
          </cell>
          <cell r="B13" t="str">
            <v>BILBAO VIZCAYA INTERNATIONAL LTD.</v>
          </cell>
          <cell r="D13">
            <v>7673</v>
          </cell>
          <cell r="E13">
            <v>964</v>
          </cell>
          <cell r="F13">
            <v>1344</v>
          </cell>
          <cell r="G13">
            <v>1573</v>
          </cell>
          <cell r="H13">
            <v>432</v>
          </cell>
          <cell r="I13">
            <v>6936</v>
          </cell>
          <cell r="J13">
            <v>3</v>
          </cell>
        </row>
        <row r="14">
          <cell r="A14">
            <v>4</v>
          </cell>
          <cell r="B14" t="str">
            <v>BILBAO VIZCAYA INVESTMENT, BV</v>
          </cell>
          <cell r="E14">
            <v>5586</v>
          </cell>
          <cell r="F14">
            <v>1344</v>
          </cell>
          <cell r="G14">
            <v>1573</v>
          </cell>
          <cell r="H14">
            <v>432</v>
          </cell>
          <cell r="I14">
            <v>6936</v>
          </cell>
          <cell r="J14">
            <v>3</v>
          </cell>
        </row>
        <row r="15">
          <cell r="A15">
            <v>5</v>
          </cell>
          <cell r="B15" t="str">
            <v>BBV LATINVEST SECURITIES - NEW  YORK</v>
          </cell>
          <cell r="F15">
            <v>1344</v>
          </cell>
          <cell r="G15">
            <v>1573</v>
          </cell>
          <cell r="H15">
            <v>432</v>
          </cell>
          <cell r="I15">
            <v>6936</v>
          </cell>
          <cell r="J15">
            <v>3</v>
          </cell>
        </row>
        <row r="16">
          <cell r="A16">
            <v>6</v>
          </cell>
          <cell r="B16" t="str">
            <v>BBV-INTERNATIONAL INVEST. CORP. - PUERTO RICO</v>
          </cell>
          <cell r="C16">
            <v>1521</v>
          </cell>
          <cell r="D16">
            <v>5159</v>
          </cell>
          <cell r="F16">
            <v>1344</v>
          </cell>
          <cell r="G16">
            <v>1573</v>
          </cell>
          <cell r="H16">
            <v>432</v>
          </cell>
          <cell r="I16">
            <v>6936</v>
          </cell>
          <cell r="J16">
            <v>3</v>
          </cell>
        </row>
        <row r="17">
          <cell r="A17">
            <v>7</v>
          </cell>
          <cell r="B17" t="str">
            <v>BANCO EUROPEO DE INVERSIONES</v>
          </cell>
          <cell r="C17">
            <v>124</v>
          </cell>
          <cell r="D17">
            <v>233</v>
          </cell>
        </row>
        <row r="18">
          <cell r="A18">
            <v>22</v>
          </cell>
          <cell r="B18" t="str">
            <v>BBVA GLOBAL FINANCE, LTD.</v>
          </cell>
          <cell r="D18">
            <v>7673</v>
          </cell>
          <cell r="E18">
            <v>964</v>
          </cell>
          <cell r="F18">
            <v>1344</v>
          </cell>
          <cell r="G18">
            <v>1573</v>
          </cell>
          <cell r="H18">
            <v>432</v>
          </cell>
          <cell r="I18">
            <v>6936</v>
          </cell>
          <cell r="J18">
            <v>3</v>
          </cell>
        </row>
        <row r="19">
          <cell r="A19">
            <v>30</v>
          </cell>
          <cell r="B19" t="str">
            <v>EUROSEGUROS, S.A.</v>
          </cell>
          <cell r="D19">
            <v>5381</v>
          </cell>
          <cell r="E19">
            <v>964</v>
          </cell>
          <cell r="F19">
            <v>4421</v>
          </cell>
          <cell r="G19">
            <v>4429</v>
          </cell>
          <cell r="H19">
            <v>4453</v>
          </cell>
          <cell r="I19">
            <v>4535</v>
          </cell>
          <cell r="J19">
            <v>3</v>
          </cell>
        </row>
        <row r="20">
          <cell r="A20">
            <v>35</v>
          </cell>
          <cell r="B20" t="str">
            <v>BBV- CARTERA DE TITULOS</v>
          </cell>
          <cell r="C20">
            <v>6650</v>
          </cell>
          <cell r="D20">
            <v>5381</v>
          </cell>
          <cell r="F20">
            <v>4421</v>
          </cell>
          <cell r="G20">
            <v>4429</v>
          </cell>
          <cell r="H20">
            <v>4453</v>
          </cell>
          <cell r="I20">
            <v>4535</v>
          </cell>
          <cell r="J20">
            <v>0</v>
          </cell>
        </row>
        <row r="21">
          <cell r="A21">
            <v>50</v>
          </cell>
          <cell r="B21" t="str">
            <v>INTERNATIONAL FINANCE CORPORATION</v>
          </cell>
          <cell r="C21">
            <v>6650</v>
          </cell>
          <cell r="D21">
            <v>6628</v>
          </cell>
          <cell r="F21">
            <v>1344</v>
          </cell>
          <cell r="G21">
            <v>1573</v>
          </cell>
          <cell r="H21">
            <v>432</v>
          </cell>
          <cell r="I21">
            <v>6936</v>
          </cell>
          <cell r="J21">
            <v>0</v>
          </cell>
        </row>
        <row r="22">
          <cell r="A22">
            <v>51</v>
          </cell>
          <cell r="B22" t="str">
            <v>BERD (BCO. EUROPEO RECONSTR. Y DESARROLLO)</v>
          </cell>
          <cell r="F22">
            <v>1344</v>
          </cell>
          <cell r="G22">
            <v>1573</v>
          </cell>
          <cell r="H22">
            <v>432</v>
          </cell>
          <cell r="I22">
            <v>6936</v>
          </cell>
        </row>
        <row r="23">
          <cell r="A23">
            <v>52</v>
          </cell>
          <cell r="B23" t="str">
            <v>MORGAN GUARANTY TRUST CO OF NEW YORK - LONDON</v>
          </cell>
          <cell r="F23">
            <v>1344</v>
          </cell>
          <cell r="G23">
            <v>1573</v>
          </cell>
          <cell r="H23">
            <v>432</v>
          </cell>
          <cell r="I23">
            <v>6936</v>
          </cell>
        </row>
        <row r="24">
          <cell r="A24">
            <v>53</v>
          </cell>
          <cell r="B24" t="str">
            <v>MORGAN STANLEY AND CO. INT'L. LTD. - LONDON</v>
          </cell>
          <cell r="F24">
            <v>1344</v>
          </cell>
          <cell r="G24">
            <v>1573</v>
          </cell>
          <cell r="H24">
            <v>432</v>
          </cell>
          <cell r="I24">
            <v>6936</v>
          </cell>
        </row>
        <row r="25">
          <cell r="A25">
            <v>54</v>
          </cell>
          <cell r="B25" t="str">
            <v>MERRILL LYNCH DERIVATIVE  PRODUCTS - LONDON</v>
          </cell>
          <cell r="C25">
            <v>4597</v>
          </cell>
          <cell r="F25">
            <v>1344</v>
          </cell>
          <cell r="G25">
            <v>1573</v>
          </cell>
          <cell r="H25">
            <v>432</v>
          </cell>
          <cell r="I25">
            <v>6936</v>
          </cell>
        </row>
        <row r="26">
          <cell r="A26">
            <v>55</v>
          </cell>
          <cell r="B26" t="str">
            <v>GOLDMAN SACHS MITSUI MARINE DER. PROD. - NEW YORK</v>
          </cell>
          <cell r="C26">
            <v>4597</v>
          </cell>
          <cell r="F26">
            <v>1344</v>
          </cell>
          <cell r="G26">
            <v>1573</v>
          </cell>
          <cell r="H26">
            <v>432</v>
          </cell>
          <cell r="I26">
            <v>6936</v>
          </cell>
        </row>
        <row r="27">
          <cell r="A27">
            <v>56</v>
          </cell>
          <cell r="B27" t="str">
            <v>BANCO CENTRAL DO BRASIL</v>
          </cell>
          <cell r="D27">
            <v>5138</v>
          </cell>
          <cell r="F27">
            <v>1344</v>
          </cell>
          <cell r="G27">
            <v>1573</v>
          </cell>
          <cell r="H27">
            <v>432</v>
          </cell>
          <cell r="I27">
            <v>6936</v>
          </cell>
        </row>
        <row r="28">
          <cell r="A28">
            <v>57</v>
          </cell>
          <cell r="B28" t="str">
            <v>BANCO BILBAO VIZCAYA BRASIL, S.A. - NASSAU</v>
          </cell>
          <cell r="C28">
            <v>1521</v>
          </cell>
          <cell r="D28">
            <v>5138</v>
          </cell>
          <cell r="F28">
            <v>1344</v>
          </cell>
          <cell r="G28">
            <v>1573</v>
          </cell>
          <cell r="H28">
            <v>432</v>
          </cell>
          <cell r="I28">
            <v>6936</v>
          </cell>
          <cell r="J28">
            <v>3</v>
          </cell>
        </row>
        <row r="29">
          <cell r="A29">
            <v>58</v>
          </cell>
          <cell r="B29" t="str">
            <v>ING BARING (US) CAPITAL MARKETS - NEW YORK</v>
          </cell>
          <cell r="C29">
            <v>1521</v>
          </cell>
          <cell r="D29">
            <v>5159</v>
          </cell>
          <cell r="F29">
            <v>1344</v>
          </cell>
          <cell r="G29">
            <v>1573</v>
          </cell>
          <cell r="H29">
            <v>432</v>
          </cell>
          <cell r="I29">
            <v>6936</v>
          </cell>
          <cell r="J29">
            <v>3</v>
          </cell>
        </row>
        <row r="30">
          <cell r="A30">
            <v>59</v>
          </cell>
          <cell r="B30" t="str">
            <v>BANCO DE DESARROLLO DEL CONSEJO DE EUROPA</v>
          </cell>
          <cell r="F30">
            <v>1344</v>
          </cell>
          <cell r="G30">
            <v>1573</v>
          </cell>
          <cell r="H30">
            <v>432</v>
          </cell>
          <cell r="I30">
            <v>6936</v>
          </cell>
        </row>
        <row r="31">
          <cell r="A31">
            <v>60</v>
          </cell>
          <cell r="B31" t="str">
            <v>BILBAO VIZCAYA AMERICA BV</v>
          </cell>
          <cell r="D31">
            <v>158</v>
          </cell>
          <cell r="F31">
            <v>1593</v>
          </cell>
          <cell r="G31">
            <v>6945</v>
          </cell>
          <cell r="H31">
            <v>6935</v>
          </cell>
          <cell r="I31">
            <v>6937</v>
          </cell>
          <cell r="J31">
            <v>3</v>
          </cell>
        </row>
        <row r="32">
          <cell r="A32">
            <v>61</v>
          </cell>
          <cell r="B32" t="str">
            <v>BBV - DPTO CENTRAL EXTRANJERO</v>
          </cell>
          <cell r="C32">
            <v>6650</v>
          </cell>
          <cell r="D32">
            <v>158</v>
          </cell>
          <cell r="F32">
            <v>1593</v>
          </cell>
          <cell r="G32">
            <v>6945</v>
          </cell>
          <cell r="H32">
            <v>6935</v>
          </cell>
          <cell r="I32">
            <v>6937</v>
          </cell>
          <cell r="J32">
            <v>0</v>
          </cell>
        </row>
        <row r="33">
          <cell r="A33">
            <v>70</v>
          </cell>
          <cell r="B33" t="str">
            <v>BANCO FRANCES, S.A.</v>
          </cell>
          <cell r="C33">
            <v>1521</v>
          </cell>
          <cell r="D33">
            <v>5159</v>
          </cell>
          <cell r="J33">
            <v>3</v>
          </cell>
        </row>
        <row r="34">
          <cell r="A34">
            <v>71</v>
          </cell>
          <cell r="B34" t="str">
            <v xml:space="preserve">BBV PRIVANZA BANK (JERSEY) LTD. </v>
          </cell>
          <cell r="C34">
            <v>1521</v>
          </cell>
          <cell r="D34">
            <v>5159</v>
          </cell>
          <cell r="J34">
            <v>3</v>
          </cell>
        </row>
        <row r="35">
          <cell r="A35">
            <v>72</v>
          </cell>
          <cell r="B35" t="str">
            <v xml:space="preserve">BBV PRIVANZA BANK (SWITZERLAND) LTD. </v>
          </cell>
          <cell r="C35">
            <v>1521</v>
          </cell>
          <cell r="D35">
            <v>5159</v>
          </cell>
          <cell r="J35">
            <v>3</v>
          </cell>
        </row>
        <row r="36">
          <cell r="A36">
            <v>80</v>
          </cell>
          <cell r="B36" t="str">
            <v>PLATON INVESTMENTS</v>
          </cell>
          <cell r="C36">
            <v>1521</v>
          </cell>
          <cell r="D36">
            <v>5159</v>
          </cell>
          <cell r="E36">
            <v>944</v>
          </cell>
          <cell r="F36">
            <v>1344</v>
          </cell>
          <cell r="G36">
            <v>1573</v>
          </cell>
          <cell r="H36">
            <v>432</v>
          </cell>
          <cell r="I36">
            <v>6936</v>
          </cell>
          <cell r="J36">
            <v>3</v>
          </cell>
        </row>
        <row r="37">
          <cell r="A37">
            <v>81</v>
          </cell>
          <cell r="B37" t="str">
            <v>SEGUNDA CIA. GRAL. DE INTERCAMBIO</v>
          </cell>
          <cell r="E37">
            <v>944</v>
          </cell>
          <cell r="F37">
            <v>1344</v>
          </cell>
          <cell r="G37">
            <v>1573</v>
          </cell>
          <cell r="H37">
            <v>432</v>
          </cell>
          <cell r="I37">
            <v>6936</v>
          </cell>
        </row>
        <row r="38">
          <cell r="A38">
            <v>182</v>
          </cell>
          <cell r="B38" t="str">
            <v>BANCO BILBAO VIZCAYA ARGENTARIA, S.A.</v>
          </cell>
          <cell r="C38">
            <v>6650</v>
          </cell>
          <cell r="D38">
            <v>6628</v>
          </cell>
          <cell r="E38">
            <v>944</v>
          </cell>
          <cell r="F38">
            <v>1344</v>
          </cell>
          <cell r="G38">
            <v>1573</v>
          </cell>
          <cell r="H38">
            <v>432</v>
          </cell>
          <cell r="I38">
            <v>6936</v>
          </cell>
          <cell r="J38">
            <v>0</v>
          </cell>
        </row>
        <row r="39">
          <cell r="A39">
            <v>729</v>
          </cell>
          <cell r="B39" t="str">
            <v>BBVA  NASSAU</v>
          </cell>
          <cell r="C39">
            <v>3886</v>
          </cell>
          <cell r="D39">
            <v>5942</v>
          </cell>
          <cell r="J39">
            <v>0</v>
          </cell>
        </row>
        <row r="40">
          <cell r="A40">
            <v>997</v>
          </cell>
          <cell r="B40" t="str">
            <v>BBVA - TESORERIA</v>
          </cell>
          <cell r="C40">
            <v>433</v>
          </cell>
          <cell r="D40">
            <v>2019</v>
          </cell>
          <cell r="F40">
            <v>1344</v>
          </cell>
          <cell r="G40">
            <v>1573</v>
          </cell>
          <cell r="H40">
            <v>432</v>
          </cell>
          <cell r="I40">
            <v>6936</v>
          </cell>
          <cell r="J40">
            <v>0</v>
          </cell>
        </row>
        <row r="41">
          <cell r="A41">
            <v>1396</v>
          </cell>
          <cell r="B41" t="str">
            <v>BBVA - INSTRUMENTAL TESORERIA</v>
          </cell>
          <cell r="C41">
            <v>6650</v>
          </cell>
          <cell r="D41">
            <v>6628</v>
          </cell>
          <cell r="F41">
            <v>1344</v>
          </cell>
          <cell r="G41">
            <v>1573</v>
          </cell>
          <cell r="H41">
            <v>432</v>
          </cell>
          <cell r="I41">
            <v>6936</v>
          </cell>
          <cell r="J41">
            <v>0</v>
          </cell>
        </row>
        <row r="42">
          <cell r="A42">
            <v>1997</v>
          </cell>
          <cell r="B42" t="str">
            <v>BBVA - TESORERIA - CESIONES REPO</v>
          </cell>
          <cell r="C42">
            <v>6650</v>
          </cell>
          <cell r="D42">
            <v>6628</v>
          </cell>
          <cell r="J42">
            <v>0</v>
          </cell>
        </row>
        <row r="43">
          <cell r="A43">
            <v>2005</v>
          </cell>
          <cell r="B43" t="str">
            <v>BBVA - CARTERA ESTRATEGICA COAP</v>
          </cell>
          <cell r="C43">
            <v>6650</v>
          </cell>
          <cell r="D43">
            <v>6628</v>
          </cell>
          <cell r="J43">
            <v>0</v>
          </cell>
        </row>
        <row r="44">
          <cell r="A44">
            <v>3008</v>
          </cell>
          <cell r="B44" t="str">
            <v>BANCO DEL COMERCIO, S.A.</v>
          </cell>
          <cell r="C44">
            <v>6650</v>
          </cell>
          <cell r="D44">
            <v>6628</v>
          </cell>
          <cell r="J44">
            <v>3</v>
          </cell>
        </row>
        <row r="45">
          <cell r="A45">
            <v>3842</v>
          </cell>
          <cell r="B45" t="str">
            <v>FINANZIA, BANCO DE CREDITO, S.A.</v>
          </cell>
          <cell r="J45">
            <v>3</v>
          </cell>
        </row>
        <row r="46">
          <cell r="A46">
            <v>4119</v>
          </cell>
          <cell r="B46" t="str">
            <v>CARTERA INVERSION - COAP</v>
          </cell>
          <cell r="C46">
            <v>433</v>
          </cell>
          <cell r="D46">
            <v>2019</v>
          </cell>
          <cell r="F46">
            <v>1344</v>
          </cell>
          <cell r="G46">
            <v>1573</v>
          </cell>
          <cell r="H46">
            <v>432</v>
          </cell>
          <cell r="I46">
            <v>6936</v>
          </cell>
          <cell r="J46">
            <v>3</v>
          </cell>
        </row>
        <row r="47">
          <cell r="A47">
            <v>4500</v>
          </cell>
          <cell r="B47" t="str">
            <v>BANCA CATALANA, S.A.</v>
          </cell>
          <cell r="C47">
            <v>433</v>
          </cell>
          <cell r="D47">
            <v>2019</v>
          </cell>
          <cell r="F47">
            <v>1344</v>
          </cell>
          <cell r="G47">
            <v>1573</v>
          </cell>
          <cell r="H47">
            <v>432</v>
          </cell>
          <cell r="I47">
            <v>6936</v>
          </cell>
          <cell r="J47">
            <v>3</v>
          </cell>
        </row>
        <row r="48">
          <cell r="A48">
            <v>7760</v>
          </cell>
          <cell r="B48" t="str">
            <v>BBVA NUEVA YORK</v>
          </cell>
          <cell r="C48">
            <v>3886</v>
          </cell>
          <cell r="D48">
            <v>5942</v>
          </cell>
          <cell r="J48">
            <v>0</v>
          </cell>
        </row>
        <row r="49">
          <cell r="A49">
            <v>9851</v>
          </cell>
          <cell r="B49" t="str">
            <v>BBVA - COMPLEMENTO BANCA COMERCIAL</v>
          </cell>
          <cell r="C49">
            <v>3886</v>
          </cell>
          <cell r="D49">
            <v>5942</v>
          </cell>
          <cell r="J49">
            <v>0</v>
          </cell>
        </row>
        <row r="50">
          <cell r="A50">
            <v>9857</v>
          </cell>
          <cell r="B50" t="str">
            <v>BBVA - COMPLEMENTO BANCA INSTITUCIONAL</v>
          </cell>
          <cell r="J50">
            <v>0</v>
          </cell>
        </row>
      </sheetData>
      <sheetData sheetId="1" refreshError="1"/>
      <sheetData sheetId="2" refreshError="1"/>
      <sheetData sheetId="3" refreshError="1"/>
      <sheetData sheetId="4" refreshError="1"/>
      <sheetData sheetId="5" refreshError="1"/>
      <sheetData sheetId="6" refreshError="1"/>
    </sheetDataSet>
  </externalBook>
</externalLink>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H102"/>
  <sheetViews>
    <sheetView showGridLines="0" topLeftCell="A82" workbookViewId="0">
      <selection activeCell="A87" sqref="A87"/>
    </sheetView>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HLOOKUP(INDICE!$F$2,Nombres!$C$3:$E$853,9)</f>
        <v>Mexico</v>
      </c>
    </row>
    <row r="2" spans="1:8" ht="18">
      <c r="A2" s="144" t="str">
        <f>HLOOKUP(INDICE!$F$2,Nombres!$C$3:$E$853,93)</f>
        <v xml:space="preserve">Income statement  </v>
      </c>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1172.6951419100001</v>
      </c>
      <c r="C6" s="83">
        <v>1181.3981738299999</v>
      </c>
      <c r="D6" s="83">
        <v>1232.7636235499999</v>
      </c>
      <c r="E6" s="148">
        <v>1323.55857971</v>
      </c>
      <c r="F6" s="83">
        <v>1340.3771765199999</v>
      </c>
      <c r="G6" s="83">
        <v>1393.4643517</v>
      </c>
      <c r="H6" s="83">
        <v>1298.68225119</v>
      </c>
    </row>
    <row r="7" spans="1:8">
      <c r="A7" s="49" t="str">
        <f>HLOOKUP(INDICE!$F$2,Nombres!$C$3:$E$853,39)</f>
        <v>Net fees and commissions</v>
      </c>
      <c r="B7" s="149">
        <v>262.01400457</v>
      </c>
      <c r="C7" s="84">
        <v>297.97400040000002</v>
      </c>
      <c r="D7" s="84">
        <v>302.05513836</v>
      </c>
      <c r="E7" s="150">
        <v>303.94969006999997</v>
      </c>
      <c r="F7" s="84">
        <v>295.11765385000001</v>
      </c>
      <c r="G7" s="84">
        <v>309.60095422999996</v>
      </c>
      <c r="H7" s="84">
        <v>292.08054607000003</v>
      </c>
    </row>
    <row r="8" spans="1:8">
      <c r="A8" s="49" t="str">
        <f>HLOOKUP(INDICE!$F$2,Nombres!$C$3:$E$853,40)</f>
        <v>Net trading income</v>
      </c>
      <c r="B8" s="149">
        <v>48.448978030000006</v>
      </c>
      <c r="C8" s="84">
        <v>59.467708529999996</v>
      </c>
      <c r="D8" s="84">
        <v>55.668369040000002</v>
      </c>
      <c r="E8" s="150">
        <v>31.766891309999998</v>
      </c>
      <c r="F8" s="84">
        <v>51.942804140000007</v>
      </c>
      <c r="G8" s="84">
        <v>57.484435680000004</v>
      </c>
      <c r="H8" s="84">
        <v>57.595655469999997</v>
      </c>
    </row>
    <row r="9" spans="1:8">
      <c r="A9" s="49" t="str">
        <f>HLOOKUP(INDICE!$F$2,Nombres!$C$3:$E$853,95)</f>
        <v>Other income/expenses</v>
      </c>
      <c r="B9" s="149">
        <v>53.53275206</v>
      </c>
      <c r="C9" s="84">
        <v>58.640973540000005</v>
      </c>
      <c r="D9" s="84">
        <v>55.854762960000002</v>
      </c>
      <c r="E9" s="150">
        <v>82.111964130000004</v>
      </c>
      <c r="F9" s="84">
        <v>64.212608860000003</v>
      </c>
      <c r="G9" s="84">
        <v>45.469974620000002</v>
      </c>
      <c r="H9" s="84">
        <v>47.457934439999995</v>
      </c>
    </row>
    <row r="10" spans="1:8">
      <c r="A10" s="54" t="str">
        <f>HLOOKUP(INDICE!$F$2,Nombres!$C$3:$E$853,44)</f>
        <v>Gross income</v>
      </c>
      <c r="B10" s="147">
        <v>1536.69087657</v>
      </c>
      <c r="C10" s="83">
        <v>1597.4808562999999</v>
      </c>
      <c r="D10" s="83">
        <v>1646.3418939099997</v>
      </c>
      <c r="E10" s="148">
        <v>1741.3871252200001</v>
      </c>
      <c r="F10" s="83">
        <v>1751.6502433699998</v>
      </c>
      <c r="G10" s="83">
        <v>1806.0197162300001</v>
      </c>
      <c r="H10" s="83">
        <v>1695.8163871700001</v>
      </c>
    </row>
    <row r="11" spans="1:8">
      <c r="A11" s="49" t="str">
        <f>HLOOKUP(INDICE!$F$2,Nombres!$C$3:$E$853,45)</f>
        <v>Operating expenses</v>
      </c>
      <c r="B11" s="149">
        <v>-567.56908724999994</v>
      </c>
      <c r="C11" s="84">
        <v>-586.93718613999999</v>
      </c>
      <c r="D11" s="84">
        <v>-617.39127126000005</v>
      </c>
      <c r="E11" s="150">
        <v>-634.56400030999998</v>
      </c>
      <c r="F11" s="84">
        <v>-646.72280568999997</v>
      </c>
      <c r="G11" s="84">
        <v>-662.47228629000006</v>
      </c>
      <c r="H11" s="84">
        <v>-642.41754194999999</v>
      </c>
    </row>
    <row r="12" spans="1:8">
      <c r="A12" s="49" t="str">
        <f>HLOOKUP(INDICE!$F$2,Nombres!$C$3:$E$853,46)</f>
        <v xml:space="preserve">  Administration expenses</v>
      </c>
      <c r="B12" s="149">
        <v>-523.98837075000006</v>
      </c>
      <c r="C12" s="84">
        <v>-542.70871855999997</v>
      </c>
      <c r="D12" s="84">
        <v>-569.74083267000003</v>
      </c>
      <c r="E12" s="150">
        <v>-582.77316885000005</v>
      </c>
      <c r="F12" s="84">
        <v>-592.41684379000003</v>
      </c>
      <c r="G12" s="84">
        <v>-608.72188013000005</v>
      </c>
      <c r="H12" s="84">
        <v>-589.81161653000004</v>
      </c>
    </row>
    <row r="13" spans="1:8">
      <c r="A13" s="88" t="str">
        <f>HLOOKUP(INDICE!$F$2,Nombres!$C$3:$E$853,47)</f>
        <v xml:space="preserve">  Personnel expenses</v>
      </c>
      <c r="B13" s="149">
        <v>-244.26564548000002</v>
      </c>
      <c r="C13" s="84">
        <v>-254.00511219999999</v>
      </c>
      <c r="D13" s="84">
        <v>-265.67318500000005</v>
      </c>
      <c r="E13" s="150">
        <v>-256.37710708999998</v>
      </c>
      <c r="F13" s="84">
        <v>-287.81489001</v>
      </c>
      <c r="G13" s="84">
        <v>-292.35707563</v>
      </c>
      <c r="H13" s="84">
        <v>-273.00052769000001</v>
      </c>
    </row>
    <row r="14" spans="1:8">
      <c r="A14" s="88" t="str">
        <f>HLOOKUP(INDICE!$F$2,Nombres!$C$3:$E$853,48)</f>
        <v xml:space="preserve">  General and administrative expenses</v>
      </c>
      <c r="B14" s="149">
        <v>-279.72272526999996</v>
      </c>
      <c r="C14" s="84">
        <v>-288.70360635999998</v>
      </c>
      <c r="D14" s="84">
        <v>-304.06764767000004</v>
      </c>
      <c r="E14" s="150">
        <v>-326.39606176000001</v>
      </c>
      <c r="F14" s="84">
        <v>-304.60195378000003</v>
      </c>
      <c r="G14" s="84">
        <v>-316.36480449999999</v>
      </c>
      <c r="H14" s="84">
        <v>-316.81108884000002</v>
      </c>
    </row>
    <row r="15" spans="1:8" ht="13.5" customHeight="1">
      <c r="A15" s="49" t="str">
        <f>HLOOKUP(INDICE!$F$2,Nombres!$C$3:$E$853,49)</f>
        <v xml:space="preserve">  Depreciation and amortization</v>
      </c>
      <c r="B15" s="149">
        <v>-43.580716500000001</v>
      </c>
      <c r="C15" s="84">
        <v>-44.22846758</v>
      </c>
      <c r="D15" s="84">
        <v>-47.65043859</v>
      </c>
      <c r="E15" s="150">
        <v>-51.790831460000007</v>
      </c>
      <c r="F15" s="84">
        <v>-54.3059619</v>
      </c>
      <c r="G15" s="84">
        <v>-53.750406160000004</v>
      </c>
      <c r="H15" s="84">
        <v>-52.605925420000005</v>
      </c>
    </row>
    <row r="16" spans="1:8" ht="12.75" customHeight="1">
      <c r="A16" s="54" t="str">
        <f>HLOOKUP(INDICE!$F$2,Nombres!$C$3:$E$853,50)</f>
        <v>Operating income</v>
      </c>
      <c r="B16" s="147">
        <v>969.12178932000006</v>
      </c>
      <c r="C16" s="83">
        <v>1010.54367016</v>
      </c>
      <c r="D16" s="83">
        <v>1028.9506226499998</v>
      </c>
      <c r="E16" s="148">
        <v>1106.8231249099999</v>
      </c>
      <c r="F16" s="83">
        <v>1104.9274376799999</v>
      </c>
      <c r="G16" s="83">
        <v>1143.54742994</v>
      </c>
      <c r="H16" s="83">
        <v>1053.3988452200001</v>
      </c>
    </row>
    <row r="17" spans="1:8" ht="13.5" customHeight="1">
      <c r="A17" s="49" t="str">
        <f>HLOOKUP(INDICE!$F$2,Nombres!$C$3:$E$853,51)</f>
        <v>Impairment on financial assets (net)</v>
      </c>
      <c r="B17" s="149">
        <v>-355.43361687999999</v>
      </c>
      <c r="C17" s="84">
        <v>-394.96267798999997</v>
      </c>
      <c r="D17" s="84">
        <v>-396.21081185000003</v>
      </c>
      <c r="E17" s="150">
        <v>-370.64715236000001</v>
      </c>
      <c r="F17" s="84">
        <v>-421.86768575000008</v>
      </c>
      <c r="G17" s="84">
        <v>-429.76270519000002</v>
      </c>
      <c r="H17" s="84">
        <v>-408.20250263000003</v>
      </c>
    </row>
    <row r="18" spans="1:8" ht="13.5" customHeight="1">
      <c r="A18" s="49" t="str">
        <f>HLOOKUP(INDICE!$F$2,Nombres!$C$3:$E$853,160)</f>
        <v>Provisions (net) and other gains/losses</v>
      </c>
      <c r="B18" s="149">
        <v>-16.087999830000001</v>
      </c>
      <c r="C18" s="84">
        <v>-25.494001019999999</v>
      </c>
      <c r="D18" s="84">
        <v>-43.767999289999999</v>
      </c>
      <c r="E18" s="150">
        <v>6.6240006299999976</v>
      </c>
      <c r="F18" s="84">
        <v>10.37400083</v>
      </c>
      <c r="G18" s="84">
        <v>-26.870638249999999</v>
      </c>
      <c r="H18" s="84">
        <v>-22.004998990000001</v>
      </c>
    </row>
    <row r="19" spans="1:8" ht="12.75" customHeight="1">
      <c r="A19" s="54" t="str">
        <f>HLOOKUP(INDICE!$F$2,Nombres!$C$3:$E$853,54)</f>
        <v>Income before tax</v>
      </c>
      <c r="B19" s="147">
        <v>597.60017261000007</v>
      </c>
      <c r="C19" s="83">
        <v>590.08699115000002</v>
      </c>
      <c r="D19" s="83">
        <v>588.97181150999995</v>
      </c>
      <c r="E19" s="148">
        <v>742.79997318000005</v>
      </c>
      <c r="F19" s="83">
        <v>693.43375276000006</v>
      </c>
      <c r="G19" s="83">
        <v>686.91408649999994</v>
      </c>
      <c r="H19" s="83">
        <v>623.19134359999998</v>
      </c>
    </row>
    <row r="20" spans="1:8" ht="13.5" customHeight="1">
      <c r="A20" s="49" t="str">
        <f>HLOOKUP(INDICE!$F$2,Nombres!$C$3:$E$853,55)</f>
        <v>Income tax</v>
      </c>
      <c r="B20" s="149">
        <v>-143.72496473000001</v>
      </c>
      <c r="C20" s="84">
        <v>-143.37294134000001</v>
      </c>
      <c r="D20" s="84">
        <v>-140.51005241000001</v>
      </c>
      <c r="E20" s="150">
        <v>-175.99982081000002</v>
      </c>
      <c r="F20" s="84">
        <v>-169.58439347000001</v>
      </c>
      <c r="G20" s="84">
        <v>-169.05025959</v>
      </c>
      <c r="H20" s="84">
        <v>-151.46832411</v>
      </c>
    </row>
    <row r="21" spans="1:8" ht="13.5" customHeight="1">
      <c r="A21" s="54" t="str">
        <f>HLOOKUP(INDICE!$F$2,Nombres!$C$3:$E$853,56)</f>
        <v>Net income</v>
      </c>
      <c r="B21" s="147">
        <v>453.87520788</v>
      </c>
      <c r="C21" s="83">
        <v>446.71404981000001</v>
      </c>
      <c r="D21" s="83">
        <v>448.46175909999999</v>
      </c>
      <c r="E21" s="148">
        <v>566.80015236999998</v>
      </c>
      <c r="F21" s="83">
        <v>523.84935929000005</v>
      </c>
      <c r="G21" s="83">
        <v>517.86382690999994</v>
      </c>
      <c r="H21" s="83">
        <v>471.72301949000007</v>
      </c>
    </row>
    <row r="22" spans="1:8" ht="12" customHeight="1">
      <c r="A22" s="49" t="str">
        <f>HLOOKUP(INDICE!$F$2,Nombres!$C$3:$E$853,57)</f>
        <v>Non-controlling interests</v>
      </c>
      <c r="B22" s="149">
        <v>-0.14499999999999999</v>
      </c>
      <c r="C22" s="84">
        <v>-0.13799999999999998</v>
      </c>
      <c r="D22" s="84">
        <v>-0.13900000000000001</v>
      </c>
      <c r="E22" s="150">
        <v>-0.17399999999999999</v>
      </c>
      <c r="F22" s="84">
        <v>-0.16400000000000001</v>
      </c>
      <c r="G22" s="84">
        <v>-0.16299999999999998</v>
      </c>
      <c r="H22" s="84">
        <v>-0.14800000000000002</v>
      </c>
    </row>
    <row r="23" spans="1:8" ht="14.25" customHeight="1">
      <c r="A23" s="54" t="str">
        <f>HLOOKUP(INDICE!$F$2,Nombres!$C$3:$E$853,58)</f>
        <v>Net attributable profit</v>
      </c>
      <c r="B23" s="147">
        <v>453.73020787999997</v>
      </c>
      <c r="C23" s="83">
        <v>446.57604980999997</v>
      </c>
      <c r="D23" s="83">
        <v>448.32275909999998</v>
      </c>
      <c r="E23" s="148">
        <v>566.62615237</v>
      </c>
      <c r="F23" s="83">
        <v>523.68535928999995</v>
      </c>
      <c r="G23" s="83">
        <v>517.70082690999993</v>
      </c>
      <c r="H23" s="83">
        <v>471.57501948999999</v>
      </c>
    </row>
    <row r="24" spans="1:8" ht="13.5" customHeight="1">
      <c r="A24" s="144" t="str">
        <f>HLOOKUP(INDICE!$F$2,Nombres!$C$3:$E$853,94)</f>
        <v xml:space="preserve">Balance sheet  </v>
      </c>
      <c r="F24" s="151"/>
      <c r="G24" s="74"/>
      <c r="H24" s="74"/>
    </row>
    <row r="25" spans="1:8" ht="12.75" customHeight="1">
      <c r="A25" s="41" t="str">
        <f>HLOOKUP(INDICE!$F$2,Nombres!$C$3:$E$853,30)</f>
        <v>(Million euros)</v>
      </c>
      <c r="B25" s="74"/>
      <c r="C25" s="74"/>
      <c r="D25" s="74"/>
      <c r="E25" s="74"/>
      <c r="F25" s="74"/>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5298.7435213600002</v>
      </c>
      <c r="C27" s="84">
        <v>4442.4611275400002</v>
      </c>
      <c r="D27" s="84">
        <v>4888.5786617200001</v>
      </c>
      <c r="E27" s="150">
        <v>6004.1734723</v>
      </c>
      <c r="F27" s="84">
        <v>6328.3115172099997</v>
      </c>
      <c r="G27" s="84">
        <v>5326.4556505299997</v>
      </c>
      <c r="H27" s="84">
        <v>5104.0660631800001</v>
      </c>
    </row>
    <row r="28" spans="1:8">
      <c r="A28" s="49" t="str">
        <f>HLOOKUP(INDICE!$F$2,Nombres!$C$3:$E$853,101)</f>
        <v>Financial assets</v>
      </c>
      <c r="B28" s="149">
        <v>32502.395393589999</v>
      </c>
      <c r="C28" s="84">
        <v>34870.235104740001</v>
      </c>
      <c r="D28" s="84">
        <v>37888.280866169996</v>
      </c>
      <c r="E28" s="150">
        <v>34311.300632229999</v>
      </c>
      <c r="F28" s="84">
        <v>37896.320647840002</v>
      </c>
      <c r="G28" s="84">
        <v>35355.609344049997</v>
      </c>
      <c r="H28" s="84">
        <v>35992.292378400001</v>
      </c>
    </row>
    <row r="29" spans="1:8">
      <c r="A29" s="49" t="str">
        <f>HLOOKUP(INDICE!$F$2,Nombres!$C$3:$E$853,102)</f>
        <v>Loans and receivables</v>
      </c>
      <c r="B29" s="149">
        <v>42672.863102900003</v>
      </c>
      <c r="C29" s="84">
        <v>43942.023027160001</v>
      </c>
      <c r="D29" s="84">
        <v>46078.475219059997</v>
      </c>
      <c r="E29" s="150">
        <v>47800.076362879998</v>
      </c>
      <c r="F29" s="84">
        <v>51672.297989990002</v>
      </c>
      <c r="G29" s="84">
        <v>50340.092902520002</v>
      </c>
      <c r="H29" s="84">
        <v>50463.991113659999</v>
      </c>
    </row>
    <row r="30" spans="1:8">
      <c r="A30" s="49" t="str">
        <f>HLOOKUP(INDICE!$F$2,Nombres!$C$3:$E$853,103)</f>
        <v xml:space="preserve">  . Loans and advances to customers</v>
      </c>
      <c r="B30" s="149">
        <v>40381.055399049998</v>
      </c>
      <c r="C30" s="84">
        <v>41504.047758610002</v>
      </c>
      <c r="D30" s="84">
        <v>44869.056695159998</v>
      </c>
      <c r="E30" s="150">
        <v>45223.713459619998</v>
      </c>
      <c r="F30" s="84">
        <v>49986.859236470002</v>
      </c>
      <c r="G30" s="84">
        <v>48006.040030620003</v>
      </c>
      <c r="H30" s="84">
        <v>46925.626076519999</v>
      </c>
    </row>
    <row r="31" spans="1:8">
      <c r="A31" s="49" t="str">
        <f>HLOOKUP(INDICE!$F$2,Nombres!$C$3:$E$853,104)</f>
        <v xml:space="preserve">  . Loans and advances to credit institutions and other</v>
      </c>
      <c r="B31" s="154">
        <v>2291.8077038500001</v>
      </c>
      <c r="C31" s="84">
        <v>2437.9752685499998</v>
      </c>
      <c r="D31" s="84">
        <v>1209.4185239000001</v>
      </c>
      <c r="E31" s="150">
        <v>2576.3629032600002</v>
      </c>
      <c r="F31" s="84">
        <v>1685.4387535200001</v>
      </c>
      <c r="G31" s="84">
        <v>2334.0528718999999</v>
      </c>
      <c r="H31" s="84">
        <v>3538.3650371399999</v>
      </c>
    </row>
    <row r="32" spans="1:8">
      <c r="A32" s="49" t="str">
        <f>HLOOKUP(INDICE!$F$2,Nombres!$C$3:$E$853,106)</f>
        <v>Tangible assets</v>
      </c>
      <c r="B32" s="155">
        <v>1333.0714861599999</v>
      </c>
      <c r="C32" s="84">
        <v>1410.8360059300001</v>
      </c>
      <c r="D32" s="84">
        <v>1566.3091462</v>
      </c>
      <c r="E32" s="150">
        <v>1662.12129114</v>
      </c>
      <c r="F32" s="84">
        <v>1898.0046650100001</v>
      </c>
      <c r="G32" s="84">
        <v>1898.72807741</v>
      </c>
      <c r="H32" s="84">
        <v>1896.7437099799999</v>
      </c>
    </row>
    <row r="33" spans="1:8">
      <c r="A33" s="49" t="str">
        <f>HLOOKUP(INDICE!$F$2,Nombres!$C$3:$E$853,107)</f>
        <v>Other assets</v>
      </c>
      <c r="B33" s="149">
        <v>3681.8737708699969</v>
      </c>
      <c r="C33" s="84">
        <v>3813.0630064099814</v>
      </c>
      <c r="D33" s="84">
        <v>3391.9593029499729</v>
      </c>
      <c r="E33" s="150">
        <v>3952.9017752900181</v>
      </c>
      <c r="F33" s="84">
        <v>4504.6929190099963</v>
      </c>
      <c r="G33" s="84">
        <v>3934.5687472599861</v>
      </c>
      <c r="H33" s="84">
        <v>5609.1632185999979</v>
      </c>
    </row>
    <row r="34" spans="1:8">
      <c r="A34" s="54" t="str">
        <f>HLOOKUP(INDICE!$F$2,Nombres!$C$3:$E$853,108)</f>
        <v>Total assets / Liabilities and equity</v>
      </c>
      <c r="B34" s="147">
        <v>85488.947274880018</v>
      </c>
      <c r="C34" s="83">
        <v>88478.618271779997</v>
      </c>
      <c r="D34" s="83">
        <v>93813.603196099983</v>
      </c>
      <c r="E34" s="148">
        <v>93730.573533840012</v>
      </c>
      <c r="F34" s="83">
        <v>102299.62773906</v>
      </c>
      <c r="G34" s="83">
        <v>96855.454721770016</v>
      </c>
      <c r="H34" s="83">
        <v>99066.256483820005</v>
      </c>
    </row>
    <row r="35" spans="1:8">
      <c r="A35" s="49" t="str">
        <f>HLOOKUP(INDICE!$F$2,Nombres!$C$3:$E$853,109)</f>
        <v>Deposits from central banks and credit institutions</v>
      </c>
      <c r="B35" s="149">
        <v>9366.2657944000002</v>
      </c>
      <c r="C35" s="84">
        <v>8617.1685771400007</v>
      </c>
      <c r="D35" s="84">
        <v>11411.538662430001</v>
      </c>
      <c r="E35" s="150">
        <v>11617.07061904</v>
      </c>
      <c r="F35" s="84">
        <v>9241.1327790800005</v>
      </c>
      <c r="G35" s="84">
        <v>8851.0170856299992</v>
      </c>
      <c r="H35" s="84">
        <v>14736.76502268</v>
      </c>
    </row>
    <row r="36" spans="1:8">
      <c r="A36" s="49" t="str">
        <f>HLOOKUP(INDICE!$F$2,Nombres!$C$3:$E$853,110)</f>
        <v>Deposits from customers</v>
      </c>
      <c r="B36" s="149">
        <v>44341.9797817</v>
      </c>
      <c r="C36" s="84">
        <v>46030.330859610003</v>
      </c>
      <c r="D36" s="84">
        <v>48334.198945290002</v>
      </c>
      <c r="E36" s="150">
        <v>45937.425730479998</v>
      </c>
      <c r="F36" s="84">
        <v>50963.076128139997</v>
      </c>
      <c r="G36" s="84">
        <v>50497.327835919998</v>
      </c>
      <c r="H36" s="84">
        <v>46771.346545840002</v>
      </c>
    </row>
    <row r="37" spans="1:8">
      <c r="A37" s="49" t="str">
        <f>HLOOKUP(INDICE!$F$2,Nombres!$C$3:$E$853,111)</f>
        <v>Debt certificates</v>
      </c>
      <c r="B37" s="149">
        <v>3882.7719999999999</v>
      </c>
      <c r="C37" s="84">
        <v>4345.4849999999997</v>
      </c>
      <c r="D37" s="84">
        <v>4586.8680000000004</v>
      </c>
      <c r="E37" s="150">
        <v>5032.5739999999996</v>
      </c>
      <c r="F37" s="84">
        <v>6188.79</v>
      </c>
      <c r="G37" s="84">
        <v>5447.7560000000003</v>
      </c>
      <c r="H37" s="84">
        <v>5418.9639999999999</v>
      </c>
    </row>
    <row r="38" spans="1:8" ht="13.5" customHeight="1">
      <c r="A38" s="49" t="str">
        <f>HLOOKUP(INDICE!$F$2,Nombres!$C$3:$E$853,112)</f>
        <v>Subordinated liabilities</v>
      </c>
      <c r="B38" s="149">
        <v>3638.23999998</v>
      </c>
      <c r="C38" s="84">
        <v>3770.49</v>
      </c>
      <c r="D38" s="84">
        <v>3712.9990000100001</v>
      </c>
      <c r="E38" s="150">
        <v>4128.1230000200003</v>
      </c>
      <c r="F38" s="84">
        <v>4683.3580000000002</v>
      </c>
      <c r="G38" s="84">
        <v>4465.6559999999999</v>
      </c>
      <c r="H38" s="84">
        <v>4527.6450000000004</v>
      </c>
    </row>
    <row r="39" spans="1:8">
      <c r="A39" s="49" t="str">
        <f>HLOOKUP(INDICE!$F$2,Nombres!$C$3:$E$853,114)</f>
        <v xml:space="preserve">Financial liabilities held for trading </v>
      </c>
      <c r="B39" s="149">
        <v>6890.4229999999998</v>
      </c>
      <c r="C39" s="84">
        <v>7291.1030000000001</v>
      </c>
      <c r="D39" s="84">
        <v>6824.7979999999998</v>
      </c>
      <c r="E39" s="150">
        <v>7615.9660000000003</v>
      </c>
      <c r="F39" s="84">
        <v>7860.9009999999998</v>
      </c>
      <c r="G39" s="84">
        <v>7251.9390000000003</v>
      </c>
      <c r="H39" s="84">
        <v>7840.4470000000001</v>
      </c>
    </row>
    <row r="40" spans="1:8">
      <c r="A40" s="49" t="str">
        <f>HLOOKUP(INDICE!$F$2,Nombres!$C$3:$E$853,115)</f>
        <v>Other liabilities</v>
      </c>
      <c r="B40" s="149">
        <v>12806.96383755</v>
      </c>
      <c r="C40" s="84">
        <v>13627.419967869999</v>
      </c>
      <c r="D40" s="84">
        <v>14028.670972190001</v>
      </c>
      <c r="E40" s="150">
        <v>14420.724252880002</v>
      </c>
      <c r="F40" s="84">
        <v>18320.92464184</v>
      </c>
      <c r="G40" s="84">
        <v>15091.78614022</v>
      </c>
      <c r="H40" s="84">
        <v>14892.094736339999</v>
      </c>
    </row>
    <row r="41" spans="1:8" ht="12.75" customHeight="1">
      <c r="A41" s="49" t="str">
        <f>HLOOKUP(INDICE!$F$2,Nombres!$C$3:$E$853,116)</f>
        <v>Economic capital allocated</v>
      </c>
      <c r="B41" s="149">
        <v>4562.3028612500002</v>
      </c>
      <c r="C41" s="84">
        <v>4796.6208671599998</v>
      </c>
      <c r="D41" s="84">
        <v>4914.5296161799997</v>
      </c>
      <c r="E41" s="150">
        <v>4978.68993142</v>
      </c>
      <c r="F41" s="84">
        <v>5041.4451900000004</v>
      </c>
      <c r="G41" s="84">
        <v>5249.9726600000004</v>
      </c>
      <c r="H41" s="84">
        <v>4878.9941789599998</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49">
        <v>41433.284250539997</v>
      </c>
      <c r="C45" s="84">
        <v>43156.838932009996</v>
      </c>
      <c r="D45" s="84">
        <v>46582.416289530003</v>
      </c>
      <c r="E45" s="150">
        <v>46630.286911299998</v>
      </c>
      <c r="F45" s="84">
        <v>51597.245550259999</v>
      </c>
      <c r="G45" s="84">
        <v>49245.764993329998</v>
      </c>
      <c r="H45" s="84">
        <v>48208.551458030008</v>
      </c>
    </row>
    <row r="46" spans="1:8">
      <c r="A46" s="49" t="str">
        <f>HLOOKUP(INDICE!$F$2,Nombres!$C$3:$E$853,121)</f>
        <v>Customer deposits under management (**)</v>
      </c>
      <c r="B46" s="149">
        <v>35511.508863360003</v>
      </c>
      <c r="C46" s="84">
        <v>38253.648365660003</v>
      </c>
      <c r="D46" s="84">
        <v>40144.694070799997</v>
      </c>
      <c r="E46" s="150">
        <v>39090.869563909997</v>
      </c>
      <c r="F46" s="84">
        <v>45225.909641259997</v>
      </c>
      <c r="G46" s="84">
        <v>42514.339521870002</v>
      </c>
      <c r="H46" s="84">
        <v>41096.083948699998</v>
      </c>
    </row>
    <row r="47" spans="1:8">
      <c r="A47" s="49" t="str">
        <f>HLOOKUP(INDICE!$F$2,Nombres!$C$3:$E$853,122)</f>
        <v>Mutual funds</v>
      </c>
      <c r="B47" s="149">
        <v>17191.113939999999</v>
      </c>
      <c r="C47" s="84">
        <v>18362.39992</v>
      </c>
      <c r="D47" s="84">
        <v>20027.190189000001</v>
      </c>
      <c r="E47" s="150">
        <v>18691.020986</v>
      </c>
      <c r="F47" s="84">
        <v>20797.48302068</v>
      </c>
      <c r="G47" s="84">
        <v>20260.315936629999</v>
      </c>
      <c r="H47" s="84">
        <v>18219.24646382</v>
      </c>
    </row>
    <row r="48" spans="1:8">
      <c r="A48" s="49" t="str">
        <f>HLOOKUP(INDICE!$F$2,Nombres!$C$3:$E$853,206)</f>
        <v>Pension funds</v>
      </c>
      <c r="B48" s="241">
        <v>0</v>
      </c>
      <c r="C48" s="236">
        <v>0</v>
      </c>
      <c r="D48" s="236">
        <v>0</v>
      </c>
      <c r="E48" s="237">
        <v>0</v>
      </c>
      <c r="F48" s="236">
        <v>0</v>
      </c>
      <c r="G48" s="236">
        <v>0</v>
      </c>
      <c r="H48" s="236">
        <v>0</v>
      </c>
    </row>
    <row r="49" spans="1:8">
      <c r="A49" s="49" t="str">
        <f>HLOOKUP(INDICE!$F$2,Nombres!$C$3:$E$853,308)</f>
        <v>Other off balance-sheet funds</v>
      </c>
      <c r="B49" s="149">
        <v>3099.78167635</v>
      </c>
      <c r="C49" s="84">
        <v>3402.22214923</v>
      </c>
      <c r="D49" s="84">
        <v>3626.78790828</v>
      </c>
      <c r="E49" s="150">
        <v>3402.6483752899999</v>
      </c>
      <c r="F49" s="84">
        <v>3660.2034078699999</v>
      </c>
      <c r="G49" s="84">
        <v>3711.3380650300001</v>
      </c>
      <c r="H49" s="84">
        <v>3682.5437178900002</v>
      </c>
    </row>
    <row r="50" spans="1:8">
      <c r="A50" s="156" t="str">
        <f>HLOOKUP(INDICE!$F$2,Nombres!$C$3:$E$853,307)</f>
        <v xml:space="preserve">(*) Excluding repos. </v>
      </c>
      <c r="B50" s="157"/>
      <c r="C50" s="84"/>
      <c r="D50" s="84"/>
      <c r="E50" s="84"/>
      <c r="F50" s="84"/>
      <c r="G50" s="84"/>
      <c r="H50" s="84"/>
    </row>
    <row r="51" spans="1:8">
      <c r="A51" s="156" t="str">
        <f>HLOOKUP(INDICE!$F$2,Nombres!$C$3:$E$853,285)</f>
        <v xml:space="preserve">(**) Excluding repos. </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1224.6774404337</v>
      </c>
      <c r="C56" s="83">
        <v>1212.8634498356</v>
      </c>
      <c r="D56" s="83">
        <v>1234.7432089419001</v>
      </c>
      <c r="E56" s="148">
        <v>1322.4125358642</v>
      </c>
      <c r="F56" s="54">
        <v>1299.2368199484999</v>
      </c>
      <c r="G56" s="54">
        <v>1359.6878676895999</v>
      </c>
      <c r="H56" s="54">
        <v>1373.5990917719</v>
      </c>
    </row>
    <row r="57" spans="1:8">
      <c r="A57" s="49" t="str">
        <f>HLOOKUP(INDICE!$F$2,Nombres!$C$3:$E$853,39)</f>
        <v>Net fees and commissions</v>
      </c>
      <c r="B57" s="149">
        <v>273.62835318980001</v>
      </c>
      <c r="C57" s="84">
        <v>306.21002919199998</v>
      </c>
      <c r="D57" s="84">
        <v>302.73579932259997</v>
      </c>
      <c r="E57" s="150">
        <v>303.43145447259997</v>
      </c>
      <c r="F57" s="73">
        <v>286.05957249599999</v>
      </c>
      <c r="G57" s="73">
        <v>302.08762605239997</v>
      </c>
      <c r="H57" s="73">
        <v>308.65195560149999</v>
      </c>
    </row>
    <row r="58" spans="1:8">
      <c r="A58" s="49" t="str">
        <f>HLOOKUP(INDICE!$F$2,Nombres!$C$3:$E$853,40)</f>
        <v>Net trading income</v>
      </c>
      <c r="B58" s="149">
        <v>50.596585834600006</v>
      </c>
      <c r="C58" s="84">
        <v>61.145516516900003</v>
      </c>
      <c r="D58" s="84">
        <v>55.739012372700003</v>
      </c>
      <c r="E58" s="150">
        <v>31.223803039099998</v>
      </c>
      <c r="F58" s="73">
        <v>50.348517456300002</v>
      </c>
      <c r="G58" s="73">
        <v>56.080032426300001</v>
      </c>
      <c r="H58" s="73">
        <v>60.594345407299997</v>
      </c>
    </row>
    <row r="59" spans="1:8" ht="17.25" customHeight="1">
      <c r="A59" s="49" t="str">
        <f>HLOOKUP(INDICE!$F$2,Nombres!$C$3:$E$853,95)</f>
        <v>Other income/expenses</v>
      </c>
      <c r="B59" s="149">
        <v>55.9057093606</v>
      </c>
      <c r="C59" s="84">
        <v>60.244334962399996</v>
      </c>
      <c r="D59" s="84">
        <v>55.880331350399999</v>
      </c>
      <c r="E59" s="150">
        <v>82.403423770199993</v>
      </c>
      <c r="F59" s="73">
        <v>62.241723596299998</v>
      </c>
      <c r="G59" s="73">
        <v>44.435172634899999</v>
      </c>
      <c r="H59" s="73">
        <v>50.463621688700002</v>
      </c>
    </row>
    <row r="60" spans="1:8" ht="15.75" customHeight="1">
      <c r="A60" s="54" t="str">
        <f>HLOOKUP(INDICE!$F$2,Nombres!$C$3:$E$853,44)</f>
        <v>Gross income</v>
      </c>
      <c r="B60" s="147">
        <v>1604.8080888188001</v>
      </c>
      <c r="C60" s="83">
        <v>1640.4633305071002</v>
      </c>
      <c r="D60" s="83">
        <v>1649.0983519877002</v>
      </c>
      <c r="E60" s="148">
        <v>1739.4712171462002</v>
      </c>
      <c r="F60" s="54">
        <v>1697.8866334971999</v>
      </c>
      <c r="G60" s="54">
        <v>1762.2906988034001</v>
      </c>
      <c r="H60" s="54">
        <v>1793.3090144694002</v>
      </c>
    </row>
    <row r="61" spans="1:8">
      <c r="A61" s="49" t="str">
        <f>HLOOKUP(INDICE!$F$2,Nombres!$C$3:$E$853,45)</f>
        <v>Operating expenses</v>
      </c>
      <c r="B61" s="149">
        <v>-592.72783880600002</v>
      </c>
      <c r="C61" s="84">
        <v>-602.70321341459999</v>
      </c>
      <c r="D61" s="84">
        <v>-618.66727642289993</v>
      </c>
      <c r="E61" s="150">
        <v>-633.66710679509993</v>
      </c>
      <c r="F61" s="73">
        <v>-626.87286546790006</v>
      </c>
      <c r="G61" s="73">
        <v>-646.44569197850001</v>
      </c>
      <c r="H61" s="73">
        <v>-678.29407648350002</v>
      </c>
    </row>
    <row r="62" spans="1:8">
      <c r="A62" s="49" t="str">
        <f>HLOOKUP(INDICE!$F$2,Nombres!$C$3:$E$853,46)</f>
        <v xml:space="preserve">  Administration expenses</v>
      </c>
      <c r="B62" s="149">
        <v>-547.21531093060003</v>
      </c>
      <c r="C62" s="84">
        <v>-557.29390938760002</v>
      </c>
      <c r="D62" s="84">
        <v>-570.90328203349998</v>
      </c>
      <c r="E62" s="150">
        <v>-581.88856005360003</v>
      </c>
      <c r="F62" s="73">
        <v>-574.2337229346</v>
      </c>
      <c r="G62" s="73">
        <v>-593.98958969780006</v>
      </c>
      <c r="H62" s="73">
        <v>-622.72702781769999</v>
      </c>
    </row>
    <row r="63" spans="1:8">
      <c r="A63" s="88" t="str">
        <f>HLOOKUP(INDICE!$F$2,Nombres!$C$3:$E$853,47)</f>
        <v xml:space="preserve">  Personnel expenses</v>
      </c>
      <c r="B63" s="149">
        <v>-255.0932589395</v>
      </c>
      <c r="C63" s="84">
        <v>-260.84013169960002</v>
      </c>
      <c r="D63" s="84">
        <v>-266.20518942590002</v>
      </c>
      <c r="E63" s="150">
        <v>-255.6949992449</v>
      </c>
      <c r="F63" s="73">
        <v>-278.98095325769998</v>
      </c>
      <c r="G63" s="73">
        <v>-285.29226689500001</v>
      </c>
      <c r="H63" s="73">
        <v>-288.8992731774</v>
      </c>
    </row>
    <row r="64" spans="1:8">
      <c r="A64" s="88" t="str">
        <f>HLOOKUP(INDICE!$F$2,Nombres!$C$3:$E$853,48)</f>
        <v xml:space="preserve">  General and administrative expenses</v>
      </c>
      <c r="B64" s="149">
        <v>-292.12205199120001</v>
      </c>
      <c r="C64" s="84">
        <v>-296.453777688</v>
      </c>
      <c r="D64" s="84">
        <v>-304.69809260750003</v>
      </c>
      <c r="E64" s="150">
        <v>-326.1935608087</v>
      </c>
      <c r="F64" s="73">
        <v>-295.25276967690002</v>
      </c>
      <c r="G64" s="73">
        <v>-308.69732280279999</v>
      </c>
      <c r="H64" s="73">
        <v>-333.82775464029999</v>
      </c>
    </row>
    <row r="65" spans="1:8" ht="13.5" customHeight="1">
      <c r="A65" s="49" t="str">
        <f>HLOOKUP(INDICE!$F$2,Nombres!$C$3:$E$853,49)</f>
        <v xml:space="preserve">  Depreciation and amortization</v>
      </c>
      <c r="B65" s="149">
        <v>-45.512527875300002</v>
      </c>
      <c r="C65" s="84">
        <v>-45.409304027000005</v>
      </c>
      <c r="D65" s="84">
        <v>-47.763994389499999</v>
      </c>
      <c r="E65" s="150">
        <v>-51.778546741400007</v>
      </c>
      <c r="F65" s="73">
        <v>-52.639142533300003</v>
      </c>
      <c r="G65" s="73">
        <v>-52.456102280899998</v>
      </c>
      <c r="H65" s="73">
        <v>-55.567048665899996</v>
      </c>
    </row>
    <row r="66" spans="1:8" ht="14.25" customHeight="1">
      <c r="A66" s="54" t="str">
        <f>HLOOKUP(INDICE!$F$2,Nombres!$C$3:$E$853,50)</f>
        <v>Operating income</v>
      </c>
      <c r="B66" s="147">
        <v>1012.0802500126999</v>
      </c>
      <c r="C66" s="83">
        <v>1037.7601170925</v>
      </c>
      <c r="D66" s="83">
        <v>1030.4310755647</v>
      </c>
      <c r="E66" s="148">
        <v>1105.804110351</v>
      </c>
      <c r="F66" s="54">
        <v>1071.0137680293999</v>
      </c>
      <c r="G66" s="54">
        <v>1115.8450068248999</v>
      </c>
      <c r="H66" s="54">
        <v>1115.0149379857</v>
      </c>
    </row>
    <row r="67" spans="1:8">
      <c r="A67" s="49" t="str">
        <f>HLOOKUP(INDICE!$F$2,Nombres!$C$3:$E$853,51)</f>
        <v>Impairment on financial assets (net)</v>
      </c>
      <c r="B67" s="149">
        <v>-371.18899585079998</v>
      </c>
      <c r="C67" s="84">
        <v>-405.8072431777</v>
      </c>
      <c r="D67" s="84">
        <v>-396.9192857104</v>
      </c>
      <c r="E67" s="150">
        <v>-369.38049838940003</v>
      </c>
      <c r="F67" s="73">
        <v>-408.9192505469</v>
      </c>
      <c r="G67" s="73">
        <v>-419.37348253170001</v>
      </c>
      <c r="H67" s="73">
        <v>-431.54016049129996</v>
      </c>
    </row>
    <row r="68" spans="1:8" ht="16.5" customHeight="1">
      <c r="A68" s="49" t="str">
        <f>HLOOKUP(INDICE!$F$2,Nombres!$C$3:$E$853,160)</f>
        <v>Provisions (net) and other gains/losses</v>
      </c>
      <c r="B68" s="149">
        <v>-16.801135904299997</v>
      </c>
      <c r="C68" s="84">
        <v>-26.254857965299998</v>
      </c>
      <c r="D68" s="84">
        <v>-44.326763147599998</v>
      </c>
      <c r="E68" s="150">
        <v>7.3055245868000007</v>
      </c>
      <c r="F68" s="73">
        <v>10.055590385000002</v>
      </c>
      <c r="G68" s="73">
        <v>-26.1001621154</v>
      </c>
      <c r="H68" s="73">
        <v>-22.457064679600002</v>
      </c>
    </row>
    <row r="69" spans="1:8" ht="12.75" customHeight="1">
      <c r="A69" s="54" t="str">
        <f>HLOOKUP(INDICE!$F$2,Nombres!$C$3:$E$853,54)</f>
        <v>Income before tax</v>
      </c>
      <c r="B69" s="147">
        <v>624.09011825760001</v>
      </c>
      <c r="C69" s="83">
        <v>605.69801594939997</v>
      </c>
      <c r="D69" s="83">
        <v>589.18502670659996</v>
      </c>
      <c r="E69" s="148">
        <v>743.72913654839999</v>
      </c>
      <c r="F69" s="54">
        <v>672.15010786729999</v>
      </c>
      <c r="G69" s="54">
        <v>670.37136217779994</v>
      </c>
      <c r="H69" s="54">
        <v>661.01771281490005</v>
      </c>
    </row>
    <row r="70" spans="1:8" ht="13.5" customHeight="1">
      <c r="A70" s="49" t="str">
        <f>HLOOKUP(INDICE!$F$2,Nombres!$C$3:$E$853,55)</f>
        <v>Income tax</v>
      </c>
      <c r="B70" s="149">
        <v>-150.09589077449999</v>
      </c>
      <c r="C70" s="84">
        <v>-147.17902219390001</v>
      </c>
      <c r="D70" s="84">
        <v>-140.5172636364</v>
      </c>
      <c r="E70" s="150">
        <v>-176.17577222950001</v>
      </c>
      <c r="F70" s="73">
        <v>-164.3793194516</v>
      </c>
      <c r="G70" s="73">
        <v>-164.97555712639999</v>
      </c>
      <c r="H70" s="73">
        <v>-160.7481005919</v>
      </c>
    </row>
    <row r="71" spans="1:8" ht="12.75" customHeight="1">
      <c r="A71" s="54" t="str">
        <f>HLOOKUP(INDICE!$F$2,Nombres!$C$3:$E$853,56)</f>
        <v>Net income</v>
      </c>
      <c r="B71" s="147">
        <v>473.99422748309996</v>
      </c>
      <c r="C71" s="83">
        <v>458.5189937554</v>
      </c>
      <c r="D71" s="83">
        <v>448.66776307020001</v>
      </c>
      <c r="E71" s="148">
        <v>567.55336431889998</v>
      </c>
      <c r="F71" s="54">
        <v>507.7707884157</v>
      </c>
      <c r="G71" s="54">
        <v>505.39580505129999</v>
      </c>
      <c r="H71" s="54">
        <v>500.26961222300002</v>
      </c>
    </row>
    <row r="72" spans="1:8" ht="12.75" customHeight="1">
      <c r="A72" s="49" t="str">
        <f>HLOOKUP(INDICE!$F$2,Nombres!$C$3:$E$853,57)</f>
        <v>Non-controlling interests</v>
      </c>
      <c r="B72" s="149">
        <v>-0.15142744480000001</v>
      </c>
      <c r="C72" s="84">
        <v>-0.14160430010000002</v>
      </c>
      <c r="D72" s="84">
        <v>-0.1390189101</v>
      </c>
      <c r="E72" s="150">
        <v>-0.1741789366</v>
      </c>
      <c r="F72" s="73">
        <v>-0.1589663285</v>
      </c>
      <c r="G72" s="73">
        <v>-0.1590727254</v>
      </c>
      <c r="H72" s="73">
        <v>-0.15696094620000001</v>
      </c>
    </row>
    <row r="73" spans="1:8" ht="15" customHeight="1">
      <c r="A73" s="54" t="str">
        <f>HLOOKUP(INDICE!$F$2,Nombres!$C$3:$E$853,58)</f>
        <v>Net attributable profit</v>
      </c>
      <c r="B73" s="147">
        <v>473.84280003830003</v>
      </c>
      <c r="C73" s="83">
        <v>458.37738945540002</v>
      </c>
      <c r="D73" s="83">
        <v>448.52874416009996</v>
      </c>
      <c r="E73" s="148">
        <v>567.37918538229997</v>
      </c>
      <c r="F73" s="54">
        <v>507.61182208729997</v>
      </c>
      <c r="G73" s="54">
        <v>505.23673232600004</v>
      </c>
      <c r="H73" s="54">
        <v>500.11265127679997</v>
      </c>
    </row>
    <row r="74" spans="1:8" ht="15.75" customHeight="1">
      <c r="A74" s="144" t="str">
        <f>HLOOKUP(INDICE!$F$2,Nombres!$C$3:$E$853,94)</f>
        <v xml:space="preserve">Balance sheet  </v>
      </c>
      <c r="G74" s="74"/>
      <c r="H74" s="74"/>
    </row>
    <row r="75" spans="1:8">
      <c r="A75" s="41" t="str">
        <f>HLOOKUP(INDICE!$F$2,Nombres!$C$3:$E$853,31)</f>
        <v xml:space="preserve">(Constant million euros)    </v>
      </c>
      <c r="B75" s="74"/>
      <c r="C75" s="74"/>
      <c r="D75" s="74"/>
      <c r="E75" s="74"/>
      <c r="F75" s="74"/>
      <c r="G75" s="74"/>
      <c r="H75" s="74"/>
    </row>
    <row r="76" spans="1:8">
      <c r="A76" s="153"/>
      <c r="B76" s="81">
        <v>41729</v>
      </c>
      <c r="C76" s="82">
        <v>41820</v>
      </c>
      <c r="D76" s="82">
        <v>41912</v>
      </c>
      <c r="E76" s="82">
        <v>42004</v>
      </c>
      <c r="F76" s="81">
        <v>42094</v>
      </c>
      <c r="G76" s="82">
        <v>42185</v>
      </c>
      <c r="H76" s="82">
        <v>42277</v>
      </c>
    </row>
    <row r="77" spans="1:8">
      <c r="A77" s="49" t="str">
        <f>HLOOKUP(INDICE!$F$2,Nombres!$C$3:$E$853,100)</f>
        <v>Cash and balances with central banks</v>
      </c>
      <c r="B77" s="149">
        <v>5030.1313024966003</v>
      </c>
      <c r="C77" s="84">
        <v>4146.4439331333997</v>
      </c>
      <c r="D77" s="84">
        <v>4378.7890934711004</v>
      </c>
      <c r="E77" s="150">
        <v>5653.3596343551999</v>
      </c>
      <c r="F77" s="158">
        <v>5506.4596639900001</v>
      </c>
      <c r="G77" s="84">
        <v>4921.2397117617002</v>
      </c>
      <c r="H77" s="84">
        <v>5104.0660631800001</v>
      </c>
    </row>
    <row r="78" spans="1:8">
      <c r="A78" s="49" t="str">
        <f>HLOOKUP(INDICE!$F$2,Nombres!$C$3:$E$853,101)</f>
        <v>Financial assets</v>
      </c>
      <c r="B78" s="149">
        <v>30854.732978933898</v>
      </c>
      <c r="C78" s="84">
        <v>32546.705676420999</v>
      </c>
      <c r="D78" s="84">
        <v>33937.224397404301</v>
      </c>
      <c r="E78" s="150">
        <v>32306.548585140801</v>
      </c>
      <c r="F78" s="158">
        <v>32974.761197116597</v>
      </c>
      <c r="G78" s="84">
        <v>32665.892697362298</v>
      </c>
      <c r="H78" s="84">
        <v>35992.292378400001</v>
      </c>
    </row>
    <row r="79" spans="1:8">
      <c r="A79" s="49" t="str">
        <f>HLOOKUP(INDICE!$F$2,Nombres!$C$3:$E$853,102)</f>
        <v>Loans and receivables</v>
      </c>
      <c r="B79" s="149">
        <v>40509.623384442799</v>
      </c>
      <c r="C79" s="84">
        <v>41014.007677197602</v>
      </c>
      <c r="D79" s="84">
        <v>41273.330899416702</v>
      </c>
      <c r="E79" s="150">
        <v>45007.197656046999</v>
      </c>
      <c r="F79" s="158">
        <v>44961.665343711502</v>
      </c>
      <c r="G79" s="84">
        <v>46510.415281690097</v>
      </c>
      <c r="H79" s="84">
        <v>50463.991113659999</v>
      </c>
    </row>
    <row r="80" spans="1:8">
      <c r="A80" s="49" t="str">
        <f>HLOOKUP(INDICE!$F$2,Nombres!$C$3:$E$853,103)</f>
        <v xml:space="preserve">  . Loans and advances to customers</v>
      </c>
      <c r="B80" s="149">
        <v>38333.995591935498</v>
      </c>
      <c r="C80" s="84">
        <v>38738.483486622099</v>
      </c>
      <c r="D80" s="84">
        <v>40190.032663190403</v>
      </c>
      <c r="E80" s="150">
        <v>42581.367338529402</v>
      </c>
      <c r="F80" s="158">
        <v>43495.112932828401</v>
      </c>
      <c r="G80" s="84">
        <v>44353.928034602402</v>
      </c>
      <c r="H80" s="84">
        <v>46925.626076519999</v>
      </c>
    </row>
    <row r="81" spans="1:8">
      <c r="A81" s="49" t="str">
        <f>HLOOKUP(INDICE!$F$2,Nombres!$C$3:$E$853,104)</f>
        <v xml:space="preserve">  . Loans and advances to credit institutions and other</v>
      </c>
      <c r="B81" s="149">
        <v>2175.6277925073</v>
      </c>
      <c r="C81" s="84">
        <v>2275.5241905755001</v>
      </c>
      <c r="D81" s="84">
        <v>1083.2982362263999</v>
      </c>
      <c r="E81" s="150">
        <v>2425.8303175176002</v>
      </c>
      <c r="F81" s="158">
        <v>1466.5524108831</v>
      </c>
      <c r="G81" s="84">
        <v>2156.4872470875998</v>
      </c>
      <c r="H81" s="84">
        <v>3538.3650371399999</v>
      </c>
    </row>
    <row r="82" spans="1:8">
      <c r="A82" s="49" t="str">
        <f>HLOOKUP(INDICE!$F$2,Nombres!$C$3:$E$853,106)</f>
        <v>Tangible assets</v>
      </c>
      <c r="B82" s="149">
        <v>1265.4933351591999</v>
      </c>
      <c r="C82" s="84">
        <v>1316.8269185675999</v>
      </c>
      <c r="D82" s="84">
        <v>1402.9716776555999</v>
      </c>
      <c r="E82" s="150">
        <v>1565.0063173696999</v>
      </c>
      <c r="F82" s="158">
        <v>1651.5125877605999</v>
      </c>
      <c r="G82" s="84">
        <v>1754.2802624213</v>
      </c>
      <c r="H82" s="84">
        <v>1896.7437099799999</v>
      </c>
    </row>
    <row r="83" spans="1:8">
      <c r="A83" s="49" t="str">
        <f>HLOOKUP(INDICE!$F$2,Nombres!$C$3:$E$853,107)</f>
        <v>Other assets</v>
      </c>
      <c r="B83" s="149">
        <v>3495.2264498245959</v>
      </c>
      <c r="C83" s="84">
        <v>3558.9848770020594</v>
      </c>
      <c r="D83" s="84">
        <v>3038.2398298219828</v>
      </c>
      <c r="E83" s="150">
        <v>3721.9403200278098</v>
      </c>
      <c r="F83" s="158">
        <v>3919.6726946410135</v>
      </c>
      <c r="G83" s="84">
        <v>3635.2421268626163</v>
      </c>
      <c r="H83" s="84">
        <v>5609.1632185999979</v>
      </c>
    </row>
    <row r="84" spans="1:8">
      <c r="A84" s="54" t="str">
        <f>HLOOKUP(INDICE!$F$2,Nombres!$C$3:$E$853,108)</f>
        <v>Total assets / Liabilities and equity</v>
      </c>
      <c r="B84" s="147">
        <v>81155.207450857095</v>
      </c>
      <c r="C84" s="83">
        <v>82582.969082321681</v>
      </c>
      <c r="D84" s="83">
        <v>84030.555897769678</v>
      </c>
      <c r="E84" s="148">
        <v>88254.052512940703</v>
      </c>
      <c r="F84" s="147">
        <v>89014.071487219611</v>
      </c>
      <c r="G84" s="83">
        <v>89487.070080098012</v>
      </c>
      <c r="H84" s="83">
        <v>99066.256483820005</v>
      </c>
    </row>
    <row r="85" spans="1:8">
      <c r="A85" s="49" t="str">
        <f>HLOOKUP(INDICE!$F$2,Nombres!$C$3:$E$853,109)</f>
        <v>Deposits from central banks and credit institutions</v>
      </c>
      <c r="B85" s="149">
        <v>8891.4563556423</v>
      </c>
      <c r="C85" s="84">
        <v>8042.9755808029004</v>
      </c>
      <c r="D85" s="84">
        <v>10221.523369574101</v>
      </c>
      <c r="E85" s="150">
        <v>10938.3045660031</v>
      </c>
      <c r="F85" s="158">
        <v>8040.9955734944997</v>
      </c>
      <c r="G85" s="84">
        <v>8177.6662811319002</v>
      </c>
      <c r="H85" s="84">
        <v>14736.76502268</v>
      </c>
    </row>
    <row r="86" spans="1:8">
      <c r="A86" s="49" t="str">
        <f>HLOOKUP(INDICE!$F$2,Nombres!$C$3:$E$853,110)</f>
        <v>Deposits from customers</v>
      </c>
      <c r="B86" s="149">
        <v>42094.126582173703</v>
      </c>
      <c r="C86" s="84">
        <v>42963.164033051296</v>
      </c>
      <c r="D86" s="84">
        <v>43293.823793935197</v>
      </c>
      <c r="E86" s="150">
        <v>43253.378592241301</v>
      </c>
      <c r="F86" s="158">
        <v>44344.549456720801</v>
      </c>
      <c r="G86" s="84">
        <v>46655.688395575402</v>
      </c>
      <c r="H86" s="84">
        <v>46771.346545840002</v>
      </c>
    </row>
    <row r="87" spans="1:8">
      <c r="A87" s="49" t="str">
        <f>HLOOKUP(INDICE!$F$2,Nombres!$C$3:$E$853,111)</f>
        <v>Debt certificates</v>
      </c>
      <c r="B87" s="149">
        <v>3685.9404307691998</v>
      </c>
      <c r="C87" s="84">
        <v>4055.9296744482999</v>
      </c>
      <c r="D87" s="84">
        <v>4108.5413494246004</v>
      </c>
      <c r="E87" s="150">
        <v>4738.5290980952996</v>
      </c>
      <c r="F87" s="158">
        <v>5385.0576747411997</v>
      </c>
      <c r="G87" s="84">
        <v>5033.3120044885</v>
      </c>
      <c r="H87" s="84">
        <v>5418.9639999999999</v>
      </c>
    </row>
    <row r="88" spans="1:8">
      <c r="A88" s="49" t="str">
        <f>HLOOKUP(INDICE!$F$2,Nombres!$C$3:$E$853,112)</f>
        <v>Subordinated liabilities</v>
      </c>
      <c r="B88" s="149">
        <v>3453.8046304979998</v>
      </c>
      <c r="C88" s="84">
        <v>3519.2486634311999</v>
      </c>
      <c r="D88" s="84">
        <v>3325.8009434570999</v>
      </c>
      <c r="E88" s="150">
        <v>3886.9236609558002</v>
      </c>
      <c r="F88" s="158">
        <v>4075.1347099288</v>
      </c>
      <c r="G88" s="84">
        <v>4125.9263360392997</v>
      </c>
      <c r="H88" s="84">
        <v>4527.6450000000004</v>
      </c>
    </row>
    <row r="89" spans="1:8">
      <c r="A89" s="49" t="str">
        <f>HLOOKUP(INDICE!$F$2,Nombres!$C$3:$E$853,114)</f>
        <v xml:space="preserve">Financial liabilities held for trading </v>
      </c>
      <c r="B89" s="149">
        <v>6541.1228680958002</v>
      </c>
      <c r="C89" s="84">
        <v>6805.2705318644003</v>
      </c>
      <c r="D89" s="84">
        <v>6113.096078734</v>
      </c>
      <c r="E89" s="150">
        <v>7170.9778139584996</v>
      </c>
      <c r="F89" s="158">
        <v>6840.0131948943999</v>
      </c>
      <c r="G89" s="84">
        <v>6700.2398096607003</v>
      </c>
      <c r="H89" s="84">
        <v>7840.4470000000001</v>
      </c>
    </row>
    <row r="90" spans="1:8">
      <c r="A90" s="49" t="str">
        <f>HLOOKUP(INDICE!$F$2,Nombres!$C$3:$E$853,115)</f>
        <v>Other liabilities</v>
      </c>
      <c r="B90" s="149">
        <v>12157.733136075201</v>
      </c>
      <c r="C90" s="84">
        <v>12719.375865721</v>
      </c>
      <c r="D90" s="84">
        <v>12565.736525820203</v>
      </c>
      <c r="E90" s="150">
        <v>13578.145395950498</v>
      </c>
      <c r="F90" s="158">
        <v>15941.603423430999</v>
      </c>
      <c r="G90" s="84">
        <v>13943.662004822099</v>
      </c>
      <c r="H90" s="84">
        <v>14892.094736339999</v>
      </c>
    </row>
    <row r="91" spans="1:8" ht="12" customHeight="1">
      <c r="A91" s="49" t="str">
        <f>HLOOKUP(INDICE!$F$2,Nombres!$C$3:$E$853,116)</f>
        <v>Economic capital allocated</v>
      </c>
      <c r="B91" s="149">
        <v>4331.0234476027999</v>
      </c>
      <c r="C91" s="84">
        <v>4477.0047330026</v>
      </c>
      <c r="D91" s="84">
        <v>4402.0338368245002</v>
      </c>
      <c r="E91" s="150">
        <v>4687.7933857361004</v>
      </c>
      <c r="F91" s="158">
        <v>4386.717454009</v>
      </c>
      <c r="G91" s="84">
        <v>4850.5752483800998</v>
      </c>
      <c r="H91" s="84">
        <v>4878.9941789599998</v>
      </c>
    </row>
    <row r="92" spans="1:8" ht="12" customHeight="1">
      <c r="A92" s="144" t="str">
        <f>HLOOKUP(INDICE!$F$2,Nombres!$C$3:$E$853,117)</f>
        <v>Relevant business indicators</v>
      </c>
      <c r="G92" s="74"/>
      <c r="H92" s="74"/>
    </row>
    <row r="93" spans="1:8" ht="18">
      <c r="A93" s="144" t="str">
        <f>HLOOKUP(INDICE!$F$2,Nombres!$C$3:$E$853,201)</f>
        <v>Annex:</v>
      </c>
      <c r="G93" s="74"/>
      <c r="H93" s="74"/>
    </row>
    <row r="94" spans="1:8" ht="12" customHeight="1">
      <c r="A94" s="41" t="str">
        <f>HLOOKUP(INDICE!$F$2,Nombres!$C$3:$E$853,31)</f>
        <v xml:space="preserve">(Constant million euros)    </v>
      </c>
      <c r="G94" s="74"/>
      <c r="H94" s="74"/>
    </row>
    <row r="95" spans="1:8" ht="11.25" customHeight="1">
      <c r="A95" s="153"/>
      <c r="B95" s="81">
        <v>41729</v>
      </c>
      <c r="C95" s="82">
        <v>41820</v>
      </c>
      <c r="D95" s="82">
        <v>41912</v>
      </c>
      <c r="E95" s="82">
        <v>42004</v>
      </c>
      <c r="F95" s="81">
        <v>42094</v>
      </c>
      <c r="G95" s="82">
        <v>42185</v>
      </c>
      <c r="H95" s="82">
        <v>42277</v>
      </c>
    </row>
    <row r="96" spans="1:8">
      <c r="A96" s="49" t="str">
        <f>HLOOKUP(INDICE!$F$2,Nombres!$C$3:$E$853,118)</f>
        <v>Loans and advances to customers gross (*)</v>
      </c>
      <c r="B96" s="155">
        <v>39332.883207826599</v>
      </c>
      <c r="C96" s="157">
        <v>40281.143227907502</v>
      </c>
      <c r="D96" s="157">
        <v>41724.720110028204</v>
      </c>
      <c r="E96" s="157">
        <v>43905.757050313907</v>
      </c>
      <c r="F96" s="155">
        <v>44896.359893603199</v>
      </c>
      <c r="G96" s="157">
        <v>45499.339564977992</v>
      </c>
      <c r="H96" s="157">
        <v>48208.551458030008</v>
      </c>
    </row>
    <row r="97" spans="1:8">
      <c r="A97" s="49" t="str">
        <f>HLOOKUP(INDICE!$F$2,Nombres!$C$3:$E$853,121)</f>
        <v>Customer deposits under management (**)</v>
      </c>
      <c r="B97" s="155">
        <v>33711.303748218699</v>
      </c>
      <c r="C97" s="157">
        <v>35704.669918821397</v>
      </c>
      <c r="D97" s="157">
        <v>35958.334870304403</v>
      </c>
      <c r="E97" s="157">
        <v>36806.855278915798</v>
      </c>
      <c r="F97" s="155">
        <v>39352.463375040701</v>
      </c>
      <c r="G97" s="157">
        <v>39280.014647926</v>
      </c>
      <c r="H97" s="157">
        <v>41096.083948699998</v>
      </c>
    </row>
    <row r="98" spans="1:8">
      <c r="A98" s="49" t="str">
        <f>HLOOKUP(INDICE!$F$2,Nombres!$C$3:$E$853,122)</f>
        <v>Mutual funds</v>
      </c>
      <c r="B98" s="155">
        <v>16319.635023999999</v>
      </c>
      <c r="C98" s="157">
        <v>17138.847040000001</v>
      </c>
      <c r="D98" s="157">
        <v>17938.719624000001</v>
      </c>
      <c r="E98" s="157">
        <v>17598.935816000001</v>
      </c>
      <c r="F98" s="155">
        <v>18096.533499409699</v>
      </c>
      <c r="G98" s="157">
        <v>18718.990244527999</v>
      </c>
      <c r="H98" s="157">
        <v>18219.24646382</v>
      </c>
    </row>
    <row r="99" spans="1:8">
      <c r="A99" s="49" t="str">
        <f>HLOOKUP(INDICE!$F$2,Nombres!$C$3:$E$853,206)</f>
        <v>Pension funds</v>
      </c>
      <c r="B99" s="240">
        <v>0</v>
      </c>
      <c r="C99" s="236">
        <v>0</v>
      </c>
      <c r="D99" s="236">
        <v>0</v>
      </c>
      <c r="E99" s="236">
        <v>0</v>
      </c>
      <c r="F99" s="240">
        <v>0</v>
      </c>
      <c r="G99" s="236">
        <v>0</v>
      </c>
      <c r="H99" s="236">
        <v>0</v>
      </c>
    </row>
    <row r="100" spans="1:8">
      <c r="A100" s="49" t="str">
        <f>HLOOKUP(INDICE!$F$2,Nombres!$C$3:$E$853,308)</f>
        <v>Other off balance-sheet funds</v>
      </c>
      <c r="B100" s="154">
        <v>2942.6426809033001</v>
      </c>
      <c r="C100" s="84">
        <v>3175.5198266999</v>
      </c>
      <c r="D100" s="84">
        <v>3248.5800957780998</v>
      </c>
      <c r="E100" s="84">
        <v>3203.8373080849001</v>
      </c>
      <c r="F100" s="154">
        <v>3184.8562405032999</v>
      </c>
      <c r="G100" s="84">
        <v>3428.9939629144001</v>
      </c>
      <c r="H100" s="84">
        <v>3682.5437178900002</v>
      </c>
    </row>
    <row r="101" spans="1:8">
      <c r="A101" s="156" t="str">
        <f>HLOOKUP(INDICE!$F$2,Nombres!$C$3:$E$853,307)</f>
        <v xml:space="preserve">(*) Excluding repos. </v>
      </c>
      <c r="B101" s="72"/>
      <c r="C101" s="73"/>
      <c r="D101" s="73"/>
      <c r="E101" s="73"/>
      <c r="F101" s="73"/>
    </row>
    <row r="102" spans="1:8">
      <c r="A102" s="156" t="str">
        <f>HLOOKUP(INDICE!$F$2,Nombres!$C$3:$E$853,285)</f>
        <v xml:space="preserve">(**) Excluding repos. </v>
      </c>
      <c r="B102" s="72"/>
      <c r="C102" s="73"/>
      <c r="D102" s="73"/>
      <c r="E102" s="73"/>
      <c r="F102" s="73"/>
    </row>
  </sheetData>
  <mergeCells count="4">
    <mergeCell ref="B4:E4"/>
    <mergeCell ref="F4:H4"/>
    <mergeCell ref="B54:E54"/>
    <mergeCell ref="F54:H54"/>
  </mergeCells>
  <pageMargins left="0.7" right="0.7" top="0.75" bottom="0.75" header="0.3" footer="0.3"/>
  <pageSetup paperSize="9"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H103"/>
  <sheetViews>
    <sheetView showGridLines="0" topLeftCell="A67"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HLOOKUP(INDICE!$F$2,Nombres!$C$3:$E$853,12)</f>
        <v>South America</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933.74738524000009</v>
      </c>
      <c r="C6" s="83">
        <v>1126.8441222399999</v>
      </c>
      <c r="D6" s="83">
        <v>1203.59736935</v>
      </c>
      <c r="E6" s="148">
        <v>1434.3155633599999</v>
      </c>
      <c r="F6" s="83">
        <v>801.96296129999996</v>
      </c>
      <c r="G6" s="83">
        <v>850.37569377</v>
      </c>
      <c r="H6" s="83">
        <v>831.04403335000006</v>
      </c>
    </row>
    <row r="7" spans="1:8">
      <c r="A7" s="49" t="str">
        <f>HLOOKUP(INDICE!$F$2,Nombres!$C$3:$E$853,39)</f>
        <v>Net fees and commissions</v>
      </c>
      <c r="B7" s="149">
        <v>172.77039583999999</v>
      </c>
      <c r="C7" s="84">
        <v>218.31401308</v>
      </c>
      <c r="D7" s="84">
        <v>238.77107842999999</v>
      </c>
      <c r="E7" s="150">
        <v>271.46344892000002</v>
      </c>
      <c r="F7" s="84">
        <v>174.32400587999999</v>
      </c>
      <c r="G7" s="84">
        <v>185.78697600999999</v>
      </c>
      <c r="H7" s="84">
        <v>184.35173110000002</v>
      </c>
    </row>
    <row r="8" spans="1:8">
      <c r="A8" s="49" t="str">
        <f>HLOOKUP(INDICE!$F$2,Nombres!$C$3:$E$853,40)</f>
        <v>Net trading income</v>
      </c>
      <c r="B8" s="149">
        <v>152.39999785999998</v>
      </c>
      <c r="C8" s="84">
        <v>93.268660740000001</v>
      </c>
      <c r="D8" s="84">
        <v>133.01718256999999</v>
      </c>
      <c r="E8" s="150">
        <v>103.36827239000002</v>
      </c>
      <c r="F8" s="84">
        <v>180.14843679000001</v>
      </c>
      <c r="G8" s="84">
        <v>126.06113001999999</v>
      </c>
      <c r="H8" s="84">
        <v>127.14368862000001</v>
      </c>
    </row>
    <row r="9" spans="1:8">
      <c r="A9" s="49" t="str">
        <f>HLOOKUP(INDICE!$F$2,Nombres!$C$3:$E$853,95)</f>
        <v>Other income/expenses</v>
      </c>
      <c r="B9" s="149">
        <v>-98.896001639999994</v>
      </c>
      <c r="C9" s="84">
        <v>-236.45299949000002</v>
      </c>
      <c r="D9" s="84">
        <v>-221.02800195</v>
      </c>
      <c r="E9" s="150">
        <v>-334.04099989000002</v>
      </c>
      <c r="F9" s="84">
        <v>2.4960008900000048</v>
      </c>
      <c r="G9" s="84">
        <v>-24.534002399999999</v>
      </c>
      <c r="H9" s="84">
        <v>-33.774000139999998</v>
      </c>
    </row>
    <row r="10" spans="1:8">
      <c r="A10" s="54" t="str">
        <f>HLOOKUP(INDICE!$F$2,Nombres!$C$3:$E$853,44)</f>
        <v>Gross income</v>
      </c>
      <c r="B10" s="147">
        <v>1160.0217772999999</v>
      </c>
      <c r="C10" s="83">
        <v>1201.9737965700001</v>
      </c>
      <c r="D10" s="83">
        <v>1354.3576284000001</v>
      </c>
      <c r="E10" s="148">
        <v>1475.1062847799999</v>
      </c>
      <c r="F10" s="83">
        <v>1158.9314048599999</v>
      </c>
      <c r="G10" s="83">
        <v>1137.6897974000001</v>
      </c>
      <c r="H10" s="83">
        <v>1108.76545293</v>
      </c>
    </row>
    <row r="11" spans="1:8">
      <c r="A11" s="49" t="str">
        <f>HLOOKUP(INDICE!$F$2,Nombres!$C$3:$E$853,45)</f>
        <v>Operating expenses</v>
      </c>
      <c r="B11" s="149">
        <v>-495.37282524</v>
      </c>
      <c r="C11" s="84">
        <v>-549.95700239000007</v>
      </c>
      <c r="D11" s="84">
        <v>-587.78621129999999</v>
      </c>
      <c r="E11" s="150">
        <v>-683.23753217000001</v>
      </c>
      <c r="F11" s="84">
        <v>-503.80813788</v>
      </c>
      <c r="G11" s="84">
        <v>-510.16875876999995</v>
      </c>
      <c r="H11" s="84">
        <v>-502.10629383999998</v>
      </c>
    </row>
    <row r="12" spans="1:8">
      <c r="A12" s="49" t="str">
        <f>HLOOKUP(INDICE!$F$2,Nombres!$C$3:$E$853,46)</f>
        <v xml:space="preserve">  Administration expenses</v>
      </c>
      <c r="B12" s="149">
        <v>-461.40090081000005</v>
      </c>
      <c r="C12" s="84">
        <v>-510.97448812000005</v>
      </c>
      <c r="D12" s="84">
        <v>-544.57714419000001</v>
      </c>
      <c r="E12" s="150">
        <v>-619.92882350000002</v>
      </c>
      <c r="F12" s="84">
        <v>-476.95948017000001</v>
      </c>
      <c r="G12" s="84">
        <v>-483.97529839999999</v>
      </c>
      <c r="H12" s="84">
        <v>-477.41481945999999</v>
      </c>
    </row>
    <row r="13" spans="1:8">
      <c r="A13" s="88" t="str">
        <f>HLOOKUP(INDICE!$F$2,Nombres!$C$3:$E$853,47)</f>
        <v xml:space="preserve">  Personnel expenses</v>
      </c>
      <c r="B13" s="149">
        <v>-246.47326075000001</v>
      </c>
      <c r="C13" s="84">
        <v>-269.97810591000001</v>
      </c>
      <c r="D13" s="84">
        <v>-275.91583120000001</v>
      </c>
      <c r="E13" s="150">
        <v>-306.57534799000001</v>
      </c>
      <c r="F13" s="84">
        <v>-266.28986813</v>
      </c>
      <c r="G13" s="84">
        <v>-260.46039689999998</v>
      </c>
      <c r="H13" s="84">
        <v>-254.42876720999999</v>
      </c>
    </row>
    <row r="14" spans="1:8">
      <c r="A14" s="88" t="str">
        <f>HLOOKUP(INDICE!$F$2,Nombres!$C$3:$E$853,48)</f>
        <v xml:space="preserve">  General and administrative expenses</v>
      </c>
      <c r="B14" s="149">
        <v>-214.92764006000002</v>
      </c>
      <c r="C14" s="84">
        <v>-240.99638220999998</v>
      </c>
      <c r="D14" s="84">
        <v>-268.66131299</v>
      </c>
      <c r="E14" s="150">
        <v>-313.35347551000001</v>
      </c>
      <c r="F14" s="84">
        <v>-210.66961203999998</v>
      </c>
      <c r="G14" s="84">
        <v>-223.51490150000001</v>
      </c>
      <c r="H14" s="84">
        <v>-222.98605225</v>
      </c>
    </row>
    <row r="15" spans="1:8" ht="13.5" customHeight="1">
      <c r="A15" s="49" t="str">
        <f>HLOOKUP(INDICE!$F$2,Nombres!$C$3:$E$853,49)</f>
        <v xml:space="preserve">  Depreciation and amortization</v>
      </c>
      <c r="B15" s="149">
        <v>-33.971924430000001</v>
      </c>
      <c r="C15" s="84">
        <v>-38.982514269999996</v>
      </c>
      <c r="D15" s="84">
        <v>-43.209067109999999</v>
      </c>
      <c r="E15" s="150">
        <v>-63.308708669999994</v>
      </c>
      <c r="F15" s="84">
        <v>-26.848657709999998</v>
      </c>
      <c r="G15" s="84">
        <v>-26.19346037</v>
      </c>
      <c r="H15" s="84">
        <v>-24.691474379999999</v>
      </c>
    </row>
    <row r="16" spans="1:8" ht="12.75" customHeight="1">
      <c r="A16" s="54" t="str">
        <f>HLOOKUP(INDICE!$F$2,Nombres!$C$3:$E$853,50)</f>
        <v>Operating income</v>
      </c>
      <c r="B16" s="147">
        <v>664.64895206000006</v>
      </c>
      <c r="C16" s="83">
        <v>652.01679418000003</v>
      </c>
      <c r="D16" s="83">
        <v>766.57141709999996</v>
      </c>
      <c r="E16" s="148">
        <v>791.86875261</v>
      </c>
      <c r="F16" s="83">
        <v>655.12326698000004</v>
      </c>
      <c r="G16" s="83">
        <v>627.52103863000002</v>
      </c>
      <c r="H16" s="83">
        <v>606.65915909</v>
      </c>
    </row>
    <row r="17" spans="1:8" ht="13.5" customHeight="1">
      <c r="A17" s="49" t="str">
        <f>HLOOKUP(INDICE!$F$2,Nombres!$C$3:$E$853,51)</f>
        <v>Impairment on financial assets (net)</v>
      </c>
      <c r="B17" s="149">
        <v>-136.50799974</v>
      </c>
      <c r="C17" s="84">
        <v>-169.58800052999999</v>
      </c>
      <c r="D17" s="84">
        <v>-199.12899853000002</v>
      </c>
      <c r="E17" s="150">
        <v>-200.77900227999999</v>
      </c>
      <c r="F17" s="84">
        <v>-136.68700078000001</v>
      </c>
      <c r="G17" s="84">
        <v>-173.26199969999999</v>
      </c>
      <c r="H17" s="84">
        <v>-139.96400033999998</v>
      </c>
    </row>
    <row r="18" spans="1:8" ht="13.5" customHeight="1">
      <c r="A18" s="49" t="str">
        <f>HLOOKUP(INDICE!$F$2,Nombres!$C$3:$E$853,160)</f>
        <v>Provisions (net) and other gains/losses</v>
      </c>
      <c r="B18" s="149">
        <v>-26.665999620000001</v>
      </c>
      <c r="C18" s="84">
        <v>-27.724999830000002</v>
      </c>
      <c r="D18" s="84">
        <v>-50.473999930000005</v>
      </c>
      <c r="E18" s="150">
        <v>-113.65099844000001</v>
      </c>
      <c r="F18" s="84">
        <v>-50.379999800000007</v>
      </c>
      <c r="G18" s="84">
        <v>4.9369963400000003</v>
      </c>
      <c r="H18" s="84">
        <v>-18.59599669</v>
      </c>
    </row>
    <row r="19" spans="1:8" ht="12.75" customHeight="1">
      <c r="A19" s="54" t="str">
        <f>HLOOKUP(INDICE!$F$2,Nombres!$C$3:$E$853,54)</f>
        <v>Income before tax</v>
      </c>
      <c r="B19" s="147">
        <v>501.47495270000002</v>
      </c>
      <c r="C19" s="83">
        <v>454.70379381999999</v>
      </c>
      <c r="D19" s="83">
        <v>516.96841863999998</v>
      </c>
      <c r="E19" s="148">
        <v>477.43875189000005</v>
      </c>
      <c r="F19" s="83">
        <v>468.05626639999997</v>
      </c>
      <c r="G19" s="83">
        <v>459.19603527000004</v>
      </c>
      <c r="H19" s="83">
        <v>448.09916206000003</v>
      </c>
    </row>
    <row r="20" spans="1:8" ht="13.5" customHeight="1">
      <c r="A20" s="49" t="str">
        <f>HLOOKUP(INDICE!$F$2,Nombres!$C$3:$E$853,55)</f>
        <v>Income tax</v>
      </c>
      <c r="B20" s="149">
        <v>-141.6462114</v>
      </c>
      <c r="C20" s="84">
        <v>-122.17464700000001</v>
      </c>
      <c r="D20" s="84">
        <v>-111.95383763</v>
      </c>
      <c r="E20" s="150">
        <v>-114.21240159</v>
      </c>
      <c r="F20" s="84">
        <v>-144.65542031000001</v>
      </c>
      <c r="G20" s="84">
        <v>-127.25423584000001</v>
      </c>
      <c r="H20" s="84">
        <v>-151.38297854000001</v>
      </c>
    </row>
    <row r="21" spans="1:8" ht="13.5" customHeight="1">
      <c r="A21" s="54" t="str">
        <f>HLOOKUP(INDICE!$F$2,Nombres!$C$3:$E$853,56)</f>
        <v>Net income</v>
      </c>
      <c r="B21" s="147">
        <v>359.82874129999999</v>
      </c>
      <c r="C21" s="83">
        <v>332.52914681999999</v>
      </c>
      <c r="D21" s="83">
        <v>405.01458101000003</v>
      </c>
      <c r="E21" s="148">
        <v>363.22635030000004</v>
      </c>
      <c r="F21" s="83">
        <v>323.40084608999996</v>
      </c>
      <c r="G21" s="83">
        <v>331.94179943</v>
      </c>
      <c r="H21" s="83">
        <v>296.71618352000002</v>
      </c>
    </row>
    <row r="22" spans="1:8" ht="12" customHeight="1">
      <c r="A22" s="49" t="str">
        <f>HLOOKUP(INDICE!$F$2,Nombres!$C$3:$E$853,57)</f>
        <v>Non-controlling interests</v>
      </c>
      <c r="B22" s="149">
        <v>-116.68885356999999</v>
      </c>
      <c r="C22" s="84">
        <v>-94.868308450000001</v>
      </c>
      <c r="D22" s="84">
        <v>-132.29980065000001</v>
      </c>
      <c r="E22" s="150">
        <v>-115.8040809</v>
      </c>
      <c r="F22" s="84">
        <v>-96.096411250000003</v>
      </c>
      <c r="G22" s="84">
        <v>-84.861374560000002</v>
      </c>
      <c r="H22" s="84">
        <v>-77.874530460000003</v>
      </c>
    </row>
    <row r="23" spans="1:8" ht="14.25" customHeight="1">
      <c r="A23" s="54" t="str">
        <f>HLOOKUP(INDICE!$F$2,Nombres!$C$3:$E$853,58)</f>
        <v>Net attributable profit</v>
      </c>
      <c r="B23" s="147">
        <v>243.13988773</v>
      </c>
      <c r="C23" s="83">
        <v>237.66083837000002</v>
      </c>
      <c r="D23" s="83">
        <v>272.71478035999996</v>
      </c>
      <c r="E23" s="148">
        <v>247.4222694</v>
      </c>
      <c r="F23" s="83">
        <v>227.30443484</v>
      </c>
      <c r="G23" s="83">
        <v>247.08042487</v>
      </c>
      <c r="H23" s="83">
        <v>218.84165306000003</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11076.496999999999</v>
      </c>
      <c r="C27" s="84">
        <v>10643.932000000001</v>
      </c>
      <c r="D27" s="84">
        <v>10717.743</v>
      </c>
      <c r="E27" s="150">
        <v>13522.715</v>
      </c>
      <c r="F27" s="84">
        <v>9786.4290000000001</v>
      </c>
      <c r="G27" s="84">
        <v>9722.4719999999998</v>
      </c>
      <c r="H27" s="84">
        <v>9869.7559999999994</v>
      </c>
    </row>
    <row r="28" spans="1:8">
      <c r="A28" s="49" t="str">
        <f>HLOOKUP(INDICE!$F$2,Nombres!$C$3:$E$853,101)</f>
        <v>Financial assets</v>
      </c>
      <c r="B28" s="149">
        <v>9292.06</v>
      </c>
      <c r="C28" s="84">
        <v>9185.8220000000001</v>
      </c>
      <c r="D28" s="84">
        <v>9905.3829999999998</v>
      </c>
      <c r="E28" s="150">
        <v>10670.65</v>
      </c>
      <c r="F28" s="84">
        <v>10527.879000000001</v>
      </c>
      <c r="G28" s="84">
        <v>9736.4969999999994</v>
      </c>
      <c r="H28" s="84">
        <v>10109.148999999999</v>
      </c>
    </row>
    <row r="29" spans="1:8">
      <c r="A29" s="49" t="str">
        <f>HLOOKUP(INDICE!$F$2,Nombres!$C$3:$E$853,102)</f>
        <v>Loans and receivables</v>
      </c>
      <c r="B29" s="149">
        <v>47225.194265120001</v>
      </c>
      <c r="C29" s="84">
        <v>50785.556705199997</v>
      </c>
      <c r="D29" s="84">
        <v>55067.159403370002</v>
      </c>
      <c r="E29" s="150">
        <v>57212.26747929</v>
      </c>
      <c r="F29" s="84">
        <v>50427.166326270002</v>
      </c>
      <c r="G29" s="84">
        <v>49513.165076090001</v>
      </c>
      <c r="H29" s="84">
        <v>47148.657659019998</v>
      </c>
    </row>
    <row r="30" spans="1:8">
      <c r="A30" s="49" t="str">
        <f>HLOOKUP(INDICE!$F$2,Nombres!$C$3:$E$853,103)</f>
        <v xml:space="preserve">  . Loans and advances to customers</v>
      </c>
      <c r="B30" s="149">
        <v>42700.309265119999</v>
      </c>
      <c r="C30" s="84">
        <v>46134.538705200001</v>
      </c>
      <c r="D30" s="84">
        <v>49220.223403370001</v>
      </c>
      <c r="E30" s="150">
        <v>51302.48347929</v>
      </c>
      <c r="F30" s="84">
        <v>45799.780326270004</v>
      </c>
      <c r="G30" s="84">
        <v>45018.343076090001</v>
      </c>
      <c r="H30" s="84">
        <v>42999.368659020001</v>
      </c>
    </row>
    <row r="31" spans="1:8">
      <c r="A31" s="49" t="str">
        <f>HLOOKUP(INDICE!$F$2,Nombres!$C$3:$E$853,104)</f>
        <v xml:space="preserve">  . Loans and advances to credit institutions and other</v>
      </c>
      <c r="B31" s="154">
        <v>4524.8850000000002</v>
      </c>
      <c r="C31" s="84">
        <v>4651.018</v>
      </c>
      <c r="D31" s="84">
        <v>5846.9359999999997</v>
      </c>
      <c r="E31" s="150">
        <v>5909.7839999999997</v>
      </c>
      <c r="F31" s="84">
        <v>4627.3860000000004</v>
      </c>
      <c r="G31" s="84">
        <v>4494.8220000000001</v>
      </c>
      <c r="H31" s="84">
        <v>4149.2890000000007</v>
      </c>
    </row>
    <row r="32" spans="1:8">
      <c r="A32" s="49" t="str">
        <f>HLOOKUP(INDICE!$F$2,Nombres!$C$3:$E$853,106)</f>
        <v>Tangible assets</v>
      </c>
      <c r="B32" s="149">
        <v>795.3</v>
      </c>
      <c r="C32" s="84">
        <v>857.42399999999998</v>
      </c>
      <c r="D32" s="84">
        <v>917.69600000000003</v>
      </c>
      <c r="E32" s="150">
        <v>1062.4390000000001</v>
      </c>
      <c r="F32" s="84">
        <v>808.26400000000001</v>
      </c>
      <c r="G32" s="84">
        <v>767.375</v>
      </c>
      <c r="H32" s="84">
        <v>748.70299999999997</v>
      </c>
    </row>
    <row r="33" spans="1:8">
      <c r="A33" s="49" t="str">
        <f>HLOOKUP(INDICE!$F$2,Nombres!$C$3:$E$853,107)</f>
        <v>Other assets</v>
      </c>
      <c r="B33" s="149">
        <v>1578.9469999999999</v>
      </c>
      <c r="C33" s="84">
        <v>1562.2728433600043</v>
      </c>
      <c r="D33" s="84">
        <v>2012.0029999999999</v>
      </c>
      <c r="E33" s="150">
        <v>1896.1379999999999</v>
      </c>
      <c r="F33" s="84">
        <v>1979.2439999999999</v>
      </c>
      <c r="G33" s="84">
        <v>1701.249</v>
      </c>
      <c r="H33" s="84">
        <v>1986.3409999999999</v>
      </c>
    </row>
    <row r="34" spans="1:8">
      <c r="A34" s="54" t="str">
        <f>HLOOKUP(INDICE!$F$2,Nombres!$C$3:$E$853,108)</f>
        <v>Total assets / Liabilities and equity</v>
      </c>
      <c r="B34" s="147">
        <v>69967.998265120012</v>
      </c>
      <c r="C34" s="83">
        <v>73035.00754856001</v>
      </c>
      <c r="D34" s="83">
        <v>78619.984403370006</v>
      </c>
      <c r="E34" s="148">
        <v>84364.209479289973</v>
      </c>
      <c r="F34" s="83">
        <v>73528.982326269979</v>
      </c>
      <c r="G34" s="83">
        <v>71440.758076090002</v>
      </c>
      <c r="H34" s="83">
        <v>69862.606659019977</v>
      </c>
    </row>
    <row r="35" spans="1:8">
      <c r="A35" s="49" t="str">
        <f>HLOOKUP(INDICE!$F$2,Nombres!$C$3:$E$853,109)</f>
        <v>Deposits from central banks and credit institutions</v>
      </c>
      <c r="B35" s="149">
        <v>4416.92</v>
      </c>
      <c r="C35" s="84">
        <v>4360.607</v>
      </c>
      <c r="D35" s="84">
        <v>5178.3130000000001</v>
      </c>
      <c r="E35" s="150">
        <v>5770.1620000000003</v>
      </c>
      <c r="F35" s="84">
        <v>7074.6170000000002</v>
      </c>
      <c r="G35" s="84">
        <v>6407.348</v>
      </c>
      <c r="H35" s="84">
        <v>7126.9639999999999</v>
      </c>
    </row>
    <row r="36" spans="1:8">
      <c r="A36" s="49" t="str">
        <f>HLOOKUP(INDICE!$F$2,Nombres!$C$3:$E$853,110)</f>
        <v>Deposits from customers</v>
      </c>
      <c r="B36" s="149">
        <v>48058.462</v>
      </c>
      <c r="C36" s="84">
        <v>50342.773999999998</v>
      </c>
      <c r="D36" s="84">
        <v>52096.069000000003</v>
      </c>
      <c r="E36" s="150">
        <v>56369.898000000001</v>
      </c>
      <c r="F36" s="84">
        <v>44055.207999999999</v>
      </c>
      <c r="G36" s="84">
        <v>43337.52</v>
      </c>
      <c r="H36" s="84">
        <v>41168.851000000002</v>
      </c>
    </row>
    <row r="37" spans="1:8">
      <c r="A37" s="49" t="str">
        <f>HLOOKUP(INDICE!$F$2,Nombres!$C$3:$E$853,111)</f>
        <v>Debt certificates</v>
      </c>
      <c r="B37" s="149">
        <v>3783.181</v>
      </c>
      <c r="C37" s="84">
        <v>4266.3980000000001</v>
      </c>
      <c r="D37" s="84">
        <v>4656.8329999999996</v>
      </c>
      <c r="E37" s="150">
        <v>4676.7370000000001</v>
      </c>
      <c r="F37" s="84">
        <v>5314.7269999999999</v>
      </c>
      <c r="G37" s="84">
        <v>5119.1760000000004</v>
      </c>
      <c r="H37" s="84">
        <v>4659.7150000000001</v>
      </c>
    </row>
    <row r="38" spans="1:8" ht="13.5" customHeight="1">
      <c r="A38" s="49" t="str">
        <f>HLOOKUP(INDICE!$F$2,Nombres!$C$3:$E$853,112)</f>
        <v>Subordinated liabilities</v>
      </c>
      <c r="B38" s="149">
        <v>1243.00833878</v>
      </c>
      <c r="C38" s="84">
        <v>1262.39333878</v>
      </c>
      <c r="D38" s="84">
        <v>1540.7953384899999</v>
      </c>
      <c r="E38" s="150">
        <v>1658.23633849</v>
      </c>
      <c r="F38" s="84">
        <v>1813.877</v>
      </c>
      <c r="G38" s="84">
        <v>2056.328</v>
      </c>
      <c r="H38" s="84">
        <v>1927.05</v>
      </c>
    </row>
    <row r="39" spans="1:8">
      <c r="A39" s="49" t="str">
        <f>HLOOKUP(INDICE!$F$2,Nombres!$C$3:$E$853,114)</f>
        <v xml:space="preserve">Financial liabilities held for trading </v>
      </c>
      <c r="B39" s="149">
        <v>1358.4760000000001</v>
      </c>
      <c r="C39" s="84">
        <v>1378.0509999999999</v>
      </c>
      <c r="D39" s="84">
        <v>2405.1080000000002</v>
      </c>
      <c r="E39" s="150">
        <v>2647.652</v>
      </c>
      <c r="F39" s="84">
        <v>3659.2510000000002</v>
      </c>
      <c r="G39" s="84">
        <v>3444.7620000000002</v>
      </c>
      <c r="H39" s="84">
        <v>4025.027</v>
      </c>
    </row>
    <row r="40" spans="1:8">
      <c r="A40" s="49" t="str">
        <f>HLOOKUP(INDICE!$F$2,Nombres!$C$3:$E$853,115)</f>
        <v>Other liabilities</v>
      </c>
      <c r="B40" s="149">
        <v>8201.2431863400107</v>
      </c>
      <c r="C40" s="84">
        <v>8345.7137797799987</v>
      </c>
      <c r="D40" s="84">
        <v>9548.7783345300013</v>
      </c>
      <c r="E40" s="150">
        <v>9833.6735398599667</v>
      </c>
      <c r="F40" s="84">
        <v>8967.6311462699778</v>
      </c>
      <c r="G40" s="84">
        <v>8481.9305860900022</v>
      </c>
      <c r="H40" s="84">
        <v>8568.5081033099796</v>
      </c>
    </row>
    <row r="41" spans="1:8" ht="12.75" customHeight="1">
      <c r="A41" s="49" t="str">
        <f>HLOOKUP(INDICE!$F$2,Nombres!$C$3:$E$853,116)</f>
        <v>Economic capital allocated</v>
      </c>
      <c r="B41" s="149">
        <v>2906.7077399999998</v>
      </c>
      <c r="C41" s="84">
        <v>3079.0704300000002</v>
      </c>
      <c r="D41" s="84">
        <v>3194.0877303500001</v>
      </c>
      <c r="E41" s="150">
        <v>3407.8506009399998</v>
      </c>
      <c r="F41" s="84">
        <v>2643.6711799999998</v>
      </c>
      <c r="G41" s="84">
        <v>2593.6934900000001</v>
      </c>
      <c r="H41" s="84">
        <v>2386.4915557099998</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44043.607593519999</v>
      </c>
      <c r="C45" s="157">
        <v>47587.174155199995</v>
      </c>
      <c r="D45" s="157">
        <v>50700.708263899993</v>
      </c>
      <c r="E45" s="157">
        <v>52902.143479289996</v>
      </c>
      <c r="F45" s="155">
        <v>47161.17626126</v>
      </c>
      <c r="G45" s="157">
        <v>46373.367116739995</v>
      </c>
      <c r="H45" s="157">
        <v>44256.22715852</v>
      </c>
    </row>
    <row r="46" spans="1:8">
      <c r="A46" s="49" t="str">
        <f>HLOOKUP(INDICE!$F$2,Nombres!$C$3:$E$853,121)</f>
        <v>Customer deposits under management (**)</v>
      </c>
      <c r="B46" s="155">
        <v>47944.216637589998</v>
      </c>
      <c r="C46" s="157">
        <v>49961.66284094</v>
      </c>
      <c r="D46" s="157">
        <v>52078.030258240004</v>
      </c>
      <c r="E46" s="157">
        <v>56619.618704410001</v>
      </c>
      <c r="F46" s="155">
        <v>44234.559995509997</v>
      </c>
      <c r="G46" s="157">
        <v>43284.36277634</v>
      </c>
      <c r="H46" s="157">
        <v>41362.447566080002</v>
      </c>
    </row>
    <row r="47" spans="1:8">
      <c r="A47" s="49" t="str">
        <f>HLOOKUP(INDICE!$F$2,Nombres!$C$3:$E$853,122)</f>
        <v>Mutual funds</v>
      </c>
      <c r="B47" s="155">
        <v>3219.7823376699998</v>
      </c>
      <c r="C47" s="157">
        <v>3170.8316486099998</v>
      </c>
      <c r="D47" s="157">
        <v>3734.8865696600001</v>
      </c>
      <c r="E47" s="157">
        <v>3847.55843465</v>
      </c>
      <c r="F47" s="155">
        <v>4399.8091765899999</v>
      </c>
      <c r="G47" s="157">
        <v>4327.66839213</v>
      </c>
      <c r="H47" s="157">
        <v>4819.6333988099996</v>
      </c>
    </row>
    <row r="48" spans="1:8">
      <c r="A48" s="49" t="str">
        <f>HLOOKUP(INDICE!$F$2,Nombres!$C$3:$E$853,206)</f>
        <v>Pension funds</v>
      </c>
      <c r="B48" s="155">
        <v>3656.4477285299999</v>
      </c>
      <c r="C48" s="157">
        <v>3828.2085989000002</v>
      </c>
      <c r="D48" s="157">
        <v>4285.0318874900004</v>
      </c>
      <c r="E48" s="157">
        <v>4631.6069399400003</v>
      </c>
      <c r="F48" s="155">
        <v>5410.9752847899999</v>
      </c>
      <c r="G48" s="157">
        <v>5381.2153253200004</v>
      </c>
      <c r="H48" s="157">
        <v>5585.62164407</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680.04804070039995</v>
      </c>
      <c r="C56" s="83">
        <v>728.82406538659995</v>
      </c>
      <c r="D56" s="83">
        <v>738.4722228605001</v>
      </c>
      <c r="E56" s="148">
        <v>816.7419129514999</v>
      </c>
      <c r="F56" s="54">
        <v>776.79101709890006</v>
      </c>
      <c r="G56" s="54">
        <v>830.36788385310001</v>
      </c>
      <c r="H56" s="54">
        <v>876.22378746799995</v>
      </c>
    </row>
    <row r="57" spans="1:8">
      <c r="A57" s="49" t="str">
        <f>HLOOKUP(INDICE!$F$2,Nombres!$C$3:$E$853,39)</f>
        <v>Net fees and commissions</v>
      </c>
      <c r="B57" s="149">
        <v>145.20071645159999</v>
      </c>
      <c r="C57" s="84">
        <v>165.1403468984</v>
      </c>
      <c r="D57" s="84">
        <v>168.36386763510001</v>
      </c>
      <c r="E57" s="150">
        <v>169.27644424760001</v>
      </c>
      <c r="F57" s="73">
        <v>169.9560365614</v>
      </c>
      <c r="G57" s="73">
        <v>182.7175166911</v>
      </c>
      <c r="H57" s="73">
        <v>191.7891597375</v>
      </c>
    </row>
    <row r="58" spans="1:8">
      <c r="A58" s="49" t="str">
        <f>HLOOKUP(INDICE!$F$2,Nombres!$C$3:$E$853,40)</f>
        <v>Net trading income</v>
      </c>
      <c r="B58" s="149">
        <v>90.092963035400004</v>
      </c>
      <c r="C58" s="84">
        <v>88.349420494900002</v>
      </c>
      <c r="D58" s="84">
        <v>120.6229192326</v>
      </c>
      <c r="E58" s="150">
        <v>96.2402096422</v>
      </c>
      <c r="F58" s="73">
        <v>172.34087688689999</v>
      </c>
      <c r="G58" s="73">
        <v>127.89561613059999</v>
      </c>
      <c r="H58" s="73">
        <v>133.11676241239999</v>
      </c>
    </row>
    <row r="59" spans="1:8" ht="17.25" customHeight="1">
      <c r="A59" s="49" t="str">
        <f>HLOOKUP(INDICE!$F$2,Nombres!$C$3:$E$853,95)</f>
        <v>Other income/expenses</v>
      </c>
      <c r="B59" s="149">
        <v>10.952271829800001</v>
      </c>
      <c r="C59" s="84">
        <v>8.6850545060000002</v>
      </c>
      <c r="D59" s="84">
        <v>8.3160837252000004</v>
      </c>
      <c r="E59" s="150">
        <v>-4.8394453934000001</v>
      </c>
      <c r="F59" s="73">
        <v>3.3009665883000001</v>
      </c>
      <c r="G59" s="73">
        <v>-25.983769864800003</v>
      </c>
      <c r="H59" s="73">
        <v>-33.129198373599998</v>
      </c>
    </row>
    <row r="60" spans="1:8" ht="15.75" customHeight="1">
      <c r="A60" s="54" t="str">
        <f>HLOOKUP(INDICE!$F$2,Nombres!$C$3:$E$853,44)</f>
        <v>Gross income</v>
      </c>
      <c r="B60" s="147">
        <v>926.2939920174</v>
      </c>
      <c r="C60" s="83">
        <v>990.99888728580004</v>
      </c>
      <c r="D60" s="83">
        <v>1035.7750934533999</v>
      </c>
      <c r="E60" s="148">
        <v>1077.4191214476</v>
      </c>
      <c r="F60" s="54">
        <v>1122.3888971356</v>
      </c>
      <c r="G60" s="54">
        <v>1114.99724681</v>
      </c>
      <c r="H60" s="54">
        <v>1168.0005112444001</v>
      </c>
    </row>
    <row r="61" spans="1:8">
      <c r="A61" s="49" t="str">
        <f>HLOOKUP(INDICE!$F$2,Nombres!$C$3:$E$853,45)</f>
        <v>Operating expenses</v>
      </c>
      <c r="B61" s="149">
        <v>-421.70395240969998</v>
      </c>
      <c r="C61" s="84">
        <v>-437.08894863319995</v>
      </c>
      <c r="D61" s="84">
        <v>-450.19673942099996</v>
      </c>
      <c r="E61" s="150">
        <v>-467.70560997230007</v>
      </c>
      <c r="F61" s="73">
        <v>-489.46372667410003</v>
      </c>
      <c r="G61" s="73">
        <v>-498.88227756429995</v>
      </c>
      <c r="H61" s="73">
        <v>-527.7371862517</v>
      </c>
    </row>
    <row r="62" spans="1:8">
      <c r="A62" s="49" t="str">
        <f>HLOOKUP(INDICE!$F$2,Nombres!$C$3:$E$853,46)</f>
        <v xml:space="preserve">  Administration expenses</v>
      </c>
      <c r="B62" s="149">
        <v>-397.87152984459999</v>
      </c>
      <c r="C62" s="84">
        <v>-413.85131225309999</v>
      </c>
      <c r="D62" s="84">
        <v>-425.19909970690003</v>
      </c>
      <c r="E62" s="150">
        <v>-445.32297182800005</v>
      </c>
      <c r="F62" s="73">
        <v>-463.51703973330001</v>
      </c>
      <c r="G62" s="73">
        <v>-473.10495650680002</v>
      </c>
      <c r="H62" s="73">
        <v>-501.72760179009998</v>
      </c>
    </row>
    <row r="63" spans="1:8">
      <c r="A63" s="189" t="str">
        <f>HLOOKUP(INDICE!$F$2,Nombres!$C$3:$E$853,47)</f>
        <v xml:space="preserve">  Personnel expenses</v>
      </c>
      <c r="B63" s="149">
        <v>-220.10464392839998</v>
      </c>
      <c r="C63" s="84">
        <v>-228.99144673320001</v>
      </c>
      <c r="D63" s="84">
        <v>-228.26789575139998</v>
      </c>
      <c r="E63" s="150">
        <v>-235.24423702140001</v>
      </c>
      <c r="F63" s="73">
        <v>-258.92497727399996</v>
      </c>
      <c r="G63" s="73">
        <v>-254.8109683536</v>
      </c>
      <c r="H63" s="73">
        <v>-267.44308661230002</v>
      </c>
    </row>
    <row r="64" spans="1:8">
      <c r="A64" s="189" t="str">
        <f>HLOOKUP(INDICE!$F$2,Nombres!$C$3:$E$853,48)</f>
        <v xml:space="preserve">  General and administrative expenses</v>
      </c>
      <c r="B64" s="149">
        <v>-177.76688591609999</v>
      </c>
      <c r="C64" s="84">
        <v>-184.85986551969998</v>
      </c>
      <c r="D64" s="84">
        <v>-196.9312039555</v>
      </c>
      <c r="E64" s="150">
        <v>-210.0787348067</v>
      </c>
      <c r="F64" s="73">
        <v>-204.59206245920001</v>
      </c>
      <c r="G64" s="73">
        <v>-218.29398815299999</v>
      </c>
      <c r="H64" s="73">
        <v>-234.28451517780002</v>
      </c>
    </row>
    <row r="65" spans="1:8" ht="13.5" customHeight="1">
      <c r="A65" s="49" t="str">
        <f>HLOOKUP(INDICE!$F$2,Nombres!$C$3:$E$853,49)</f>
        <v xml:space="preserve">  Depreciation and amortization</v>
      </c>
      <c r="B65" s="149">
        <v>-23.832422565099996</v>
      </c>
      <c r="C65" s="84">
        <v>-23.237636380200001</v>
      </c>
      <c r="D65" s="84">
        <v>-24.9976397141</v>
      </c>
      <c r="E65" s="150">
        <v>-22.3826381443</v>
      </c>
      <c r="F65" s="73">
        <v>-25.946686940799999</v>
      </c>
      <c r="G65" s="73">
        <v>-25.777321057599998</v>
      </c>
      <c r="H65" s="73">
        <v>-26.009584461599999</v>
      </c>
    </row>
    <row r="66" spans="1:8" ht="14.25" customHeight="1">
      <c r="A66" s="54" t="str">
        <f>HLOOKUP(INDICE!$F$2,Nombres!$C$3:$E$853,50)</f>
        <v>Operating income</v>
      </c>
      <c r="B66" s="147">
        <v>504.59003960780001</v>
      </c>
      <c r="C66" s="83">
        <v>553.90993865259998</v>
      </c>
      <c r="D66" s="83">
        <v>585.57835403219997</v>
      </c>
      <c r="E66" s="148">
        <v>609.71351147530004</v>
      </c>
      <c r="F66" s="54">
        <v>632.9251704615001</v>
      </c>
      <c r="G66" s="54">
        <v>616.11496924569997</v>
      </c>
      <c r="H66" s="54">
        <v>640.26332499279999</v>
      </c>
    </row>
    <row r="67" spans="1:8">
      <c r="A67" s="49" t="str">
        <f>HLOOKUP(INDICE!$F$2,Nombres!$C$3:$E$853,51)</f>
        <v>Impairment on financial assets (net)</v>
      </c>
      <c r="B67" s="149">
        <v>-120.2822772266</v>
      </c>
      <c r="C67" s="84">
        <v>-125.09823695430001</v>
      </c>
      <c r="D67" s="84">
        <v>-134.3467737288</v>
      </c>
      <c r="E67" s="150">
        <v>-119.05881835059999</v>
      </c>
      <c r="F67" s="73">
        <v>-132.6746647768</v>
      </c>
      <c r="G67" s="73">
        <v>-168.21531539170002</v>
      </c>
      <c r="H67" s="73">
        <v>-149.02302065169999</v>
      </c>
    </row>
    <row r="68" spans="1:8" ht="16.5" customHeight="1">
      <c r="A68" s="49" t="str">
        <f>HLOOKUP(INDICE!$F$2,Nombres!$C$3:$E$853,160)</f>
        <v>Provisions (net) and other gains/losses</v>
      </c>
      <c r="B68" s="149">
        <v>-11.7891396614</v>
      </c>
      <c r="C68" s="84">
        <v>-10.832357594899999</v>
      </c>
      <c r="D68" s="84">
        <v>-27.801589592300004</v>
      </c>
      <c r="E68" s="150">
        <v>-78.107833849599999</v>
      </c>
      <c r="F68" s="73">
        <v>-47.810085338600004</v>
      </c>
      <c r="G68" s="73">
        <v>2.4827723780999995</v>
      </c>
      <c r="H68" s="73">
        <v>-18.711687189399999</v>
      </c>
    </row>
    <row r="69" spans="1:8" ht="12.75" customHeight="1">
      <c r="A69" s="54" t="str">
        <f>HLOOKUP(INDICE!$F$2,Nombres!$C$3:$E$853,54)</f>
        <v>Income before tax</v>
      </c>
      <c r="B69" s="147">
        <v>372.51862271970003</v>
      </c>
      <c r="C69" s="83">
        <v>417.97934410330004</v>
      </c>
      <c r="D69" s="83">
        <v>423.42999071120005</v>
      </c>
      <c r="E69" s="148">
        <v>412.54685927490004</v>
      </c>
      <c r="F69" s="54">
        <v>452.44042034619997</v>
      </c>
      <c r="G69" s="54">
        <v>450.38242623209999</v>
      </c>
      <c r="H69" s="54">
        <v>472.52861715169996</v>
      </c>
    </row>
    <row r="70" spans="1:8" ht="13.5" customHeight="1">
      <c r="A70" s="49" t="str">
        <f>HLOOKUP(INDICE!$F$2,Nombres!$C$3:$E$853,55)</f>
        <v>Income tax</v>
      </c>
      <c r="B70" s="149">
        <v>-98.355244095399996</v>
      </c>
      <c r="C70" s="84">
        <v>-102.9173271814</v>
      </c>
      <c r="D70" s="84">
        <v>-91.381013612700002</v>
      </c>
      <c r="E70" s="150">
        <v>-110.54681495209999</v>
      </c>
      <c r="F70" s="73">
        <v>-139.49529069499999</v>
      </c>
      <c r="G70" s="73">
        <v>-126.05405387659999</v>
      </c>
      <c r="H70" s="73">
        <v>-157.74329011840001</v>
      </c>
    </row>
    <row r="71" spans="1:8" ht="12.75" customHeight="1">
      <c r="A71" s="54" t="str">
        <f>HLOOKUP(INDICE!$F$2,Nombres!$C$3:$E$853,56)</f>
        <v>Net income</v>
      </c>
      <c r="B71" s="147">
        <v>274.16337862429998</v>
      </c>
      <c r="C71" s="83">
        <v>315.062016922</v>
      </c>
      <c r="D71" s="83">
        <v>332.04897709860001</v>
      </c>
      <c r="E71" s="148">
        <v>302.00004432280002</v>
      </c>
      <c r="F71" s="54">
        <v>312.94512965119998</v>
      </c>
      <c r="G71" s="54">
        <v>324.32837235560004</v>
      </c>
      <c r="H71" s="54">
        <v>314.78532703320002</v>
      </c>
    </row>
    <row r="72" spans="1:8" ht="12.75" customHeight="1">
      <c r="A72" s="49" t="str">
        <f>HLOOKUP(INDICE!$F$2,Nombres!$C$3:$E$853,57)</f>
        <v>Non-controlling interests</v>
      </c>
      <c r="B72" s="149">
        <v>-79.451105705800003</v>
      </c>
      <c r="C72" s="84">
        <v>-88.720138037600009</v>
      </c>
      <c r="D72" s="84">
        <v>-101.8942657819</v>
      </c>
      <c r="E72" s="150">
        <v>-89.667232247699999</v>
      </c>
      <c r="F72" s="73">
        <v>-93.812494386099985</v>
      </c>
      <c r="G72" s="73">
        <v>-84.255429401900003</v>
      </c>
      <c r="H72" s="73">
        <v>-80.764392482099993</v>
      </c>
    </row>
    <row r="73" spans="1:8" ht="15" customHeight="1">
      <c r="A73" s="54" t="str">
        <f>HLOOKUP(INDICE!$F$2,Nombres!$C$3:$E$853,58)</f>
        <v>Net attributable profit</v>
      </c>
      <c r="B73" s="147">
        <v>194.71227291849999</v>
      </c>
      <c r="C73" s="83">
        <v>226.34187888440002</v>
      </c>
      <c r="D73" s="83">
        <v>230.1547113167</v>
      </c>
      <c r="E73" s="148">
        <v>212.33281207499999</v>
      </c>
      <c r="F73" s="54">
        <v>219.13263526510002</v>
      </c>
      <c r="G73" s="54">
        <v>240.07294295370002</v>
      </c>
      <c r="H73" s="54">
        <v>234.02093455120001</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6746.6500957332</v>
      </c>
      <c r="C78" s="84">
        <v>6309.9119277389</v>
      </c>
      <c r="D78" s="84">
        <v>6939.7022191971</v>
      </c>
      <c r="E78" s="150">
        <v>7818.7884550583003</v>
      </c>
      <c r="F78" s="158">
        <v>8653.3685280368009</v>
      </c>
      <c r="G78" s="84">
        <v>9256.7074235076998</v>
      </c>
      <c r="H78" s="84">
        <v>9869.7559999999994</v>
      </c>
    </row>
    <row r="79" spans="1:8">
      <c r="A79" s="49" t="str">
        <f>HLOOKUP(INDICE!$F$2,Nombres!$C$3:$E$853,101)</f>
        <v>Financial assets</v>
      </c>
      <c r="B79" s="149">
        <v>7040.3264300924002</v>
      </c>
      <c r="C79" s="84">
        <v>6875.6790210729996</v>
      </c>
      <c r="D79" s="84">
        <v>7642.4967206204001</v>
      </c>
      <c r="E79" s="150">
        <v>8349.4659890716994</v>
      </c>
      <c r="F79" s="158">
        <v>9182.1978437974994</v>
      </c>
      <c r="G79" s="84">
        <v>8898.3048784904004</v>
      </c>
      <c r="H79" s="84">
        <v>10109.148999999999</v>
      </c>
    </row>
    <row r="80" spans="1:8">
      <c r="A80" s="49" t="str">
        <f>HLOOKUP(INDICE!$F$2,Nombres!$C$3:$E$853,102)</f>
        <v>Loans and receivables</v>
      </c>
      <c r="B80" s="149">
        <v>37610.840956439097</v>
      </c>
      <c r="C80" s="84">
        <v>38980.4734507947</v>
      </c>
      <c r="D80" s="84">
        <v>40574.717220591003</v>
      </c>
      <c r="E80" s="150">
        <v>41380.725062322897</v>
      </c>
      <c r="F80" s="158">
        <v>43592.128622794597</v>
      </c>
      <c r="G80" s="84">
        <v>45392.986144110997</v>
      </c>
      <c r="H80" s="84">
        <v>47148.657659019998</v>
      </c>
    </row>
    <row r="81" spans="1:8">
      <c r="A81" s="49" t="str">
        <f>HLOOKUP(INDICE!$F$2,Nombres!$C$3:$E$853,103)</f>
        <v xml:space="preserve">  . Loans and advances to customers</v>
      </c>
      <c r="B81" s="149">
        <v>34750.513677864503</v>
      </c>
      <c r="C81" s="84">
        <v>36193.312813349403</v>
      </c>
      <c r="D81" s="84">
        <v>37332.245186628199</v>
      </c>
      <c r="E81" s="150">
        <v>38558.525936984399</v>
      </c>
      <c r="F81" s="158">
        <v>39565.4411624942</v>
      </c>
      <c r="G81" s="84">
        <v>41241.4253805548</v>
      </c>
      <c r="H81" s="84">
        <v>42999.368659020001</v>
      </c>
    </row>
    <row r="82" spans="1:8">
      <c r="A82" s="49" t="str">
        <f>HLOOKUP(INDICE!$F$2,Nombres!$C$3:$E$853,104)</f>
        <v xml:space="preserve">  . Loans and advances to credit institutions and other</v>
      </c>
      <c r="B82" s="149">
        <v>2860.3272785745999</v>
      </c>
      <c r="C82" s="84">
        <v>2787.1606374452999</v>
      </c>
      <c r="D82" s="84">
        <v>3242.4720339629002</v>
      </c>
      <c r="E82" s="150">
        <v>2822.1991253386</v>
      </c>
      <c r="F82" s="158">
        <v>4026.6874603003998</v>
      </c>
      <c r="G82" s="84">
        <v>4151.5607635562001</v>
      </c>
      <c r="H82" s="84">
        <v>4149.2890000000007</v>
      </c>
    </row>
    <row r="83" spans="1:8">
      <c r="A83" s="49" t="str">
        <f>HLOOKUP(INDICE!$F$2,Nombres!$C$3:$E$853,106)</f>
        <v>Tangible assets</v>
      </c>
      <c r="B83" s="149">
        <v>588.99960995239996</v>
      </c>
      <c r="C83" s="84">
        <v>604.09382871130003</v>
      </c>
      <c r="D83" s="84">
        <v>628.21655244910005</v>
      </c>
      <c r="E83" s="150">
        <v>680.07280677369999</v>
      </c>
      <c r="F83" s="158">
        <v>713.18578125830004</v>
      </c>
      <c r="G83" s="84">
        <v>721.28375409379998</v>
      </c>
      <c r="H83" s="84">
        <v>748.70299999999997</v>
      </c>
    </row>
    <row r="84" spans="1:8">
      <c r="A84" s="49" t="str">
        <f>HLOOKUP(INDICE!$F$2,Nombres!$C$3:$E$853,107)</f>
        <v>Other assets</v>
      </c>
      <c r="B84" s="149">
        <v>1350.6098219423</v>
      </c>
      <c r="C84" s="84">
        <v>1271.4247630052</v>
      </c>
      <c r="D84" s="84">
        <v>1616.4731196056</v>
      </c>
      <c r="E84" s="150">
        <v>1430.0795960024</v>
      </c>
      <c r="F84" s="158">
        <v>1731.1321536216001</v>
      </c>
      <c r="G84" s="84">
        <v>1561.2649527827</v>
      </c>
      <c r="H84" s="84">
        <v>1986.3409999999999</v>
      </c>
    </row>
    <row r="85" spans="1:8">
      <c r="A85" s="54" t="str">
        <f>HLOOKUP(INDICE!$F$2,Nombres!$C$3:$E$853,108)</f>
        <v>Total assets / Liabilities and equity</v>
      </c>
      <c r="B85" s="147">
        <v>53337.4269141595</v>
      </c>
      <c r="C85" s="83">
        <v>54041.582991323005</v>
      </c>
      <c r="D85" s="83">
        <v>57401.605832463203</v>
      </c>
      <c r="E85" s="148">
        <v>59659.131909229007</v>
      </c>
      <c r="F85" s="147">
        <v>63872.012929508797</v>
      </c>
      <c r="G85" s="83">
        <v>65830.547152985702</v>
      </c>
      <c r="H85" s="83">
        <v>69862.606659019977</v>
      </c>
    </row>
    <row r="86" spans="1:8">
      <c r="A86" s="49" t="str">
        <f>HLOOKUP(INDICE!$F$2,Nombres!$C$3:$E$853,109)</f>
        <v>Deposits from central banks and credit institutions</v>
      </c>
      <c r="B86" s="149">
        <v>4262.4533481593999</v>
      </c>
      <c r="C86" s="84">
        <v>4161.2669145853997</v>
      </c>
      <c r="D86" s="84">
        <v>4841.5489852027004</v>
      </c>
      <c r="E86" s="150">
        <v>5146.1968417622002</v>
      </c>
      <c r="F86" s="158">
        <v>6197.1084846588001</v>
      </c>
      <c r="G86" s="84">
        <v>6030.6275296806998</v>
      </c>
      <c r="H86" s="84">
        <v>7126.9639999999999</v>
      </c>
    </row>
    <row r="87" spans="1:8">
      <c r="A87" s="49" t="str">
        <f>HLOOKUP(INDICE!$F$2,Nombres!$C$3:$E$853,110)</f>
        <v>Deposits from customers</v>
      </c>
      <c r="B87" s="149">
        <v>34155.003742959503</v>
      </c>
      <c r="C87" s="84">
        <v>34562.1084352568</v>
      </c>
      <c r="D87" s="84">
        <v>34880.982776812503</v>
      </c>
      <c r="E87" s="150">
        <v>36460.748916862402</v>
      </c>
      <c r="F87" s="158">
        <v>38106.9651765585</v>
      </c>
      <c r="G87" s="84">
        <v>39855.750166595702</v>
      </c>
      <c r="H87" s="84">
        <v>41168.851000000002</v>
      </c>
    </row>
    <row r="88" spans="1:8">
      <c r="A88" s="49" t="str">
        <f>HLOOKUP(INDICE!$F$2,Nombres!$C$3:$E$853,111)</f>
        <v>Debt certificates</v>
      </c>
      <c r="B88" s="149">
        <v>3763.0549563376999</v>
      </c>
      <c r="C88" s="84">
        <v>4177.3485513047999</v>
      </c>
      <c r="D88" s="84">
        <v>4489.7673533485004</v>
      </c>
      <c r="E88" s="150">
        <v>4459.9757510678</v>
      </c>
      <c r="F88" s="158">
        <v>4656.4220463110996</v>
      </c>
      <c r="G88" s="84">
        <v>4747.6501271199004</v>
      </c>
      <c r="H88" s="84">
        <v>4659.7150000000001</v>
      </c>
    </row>
    <row r="89" spans="1:8">
      <c r="A89" s="49" t="str">
        <f>HLOOKUP(INDICE!$F$2,Nombres!$C$3:$E$853,112)</f>
        <v>Subordinated liabilities</v>
      </c>
      <c r="B89" s="149">
        <v>1178.5989568917</v>
      </c>
      <c r="C89" s="84">
        <v>1172.1464396157</v>
      </c>
      <c r="D89" s="84">
        <v>1436.2190689633001</v>
      </c>
      <c r="E89" s="150">
        <v>1549.6619295839</v>
      </c>
      <c r="F89" s="158">
        <v>1576.3993584284999</v>
      </c>
      <c r="G89" s="84">
        <v>1857.4317168579</v>
      </c>
      <c r="H89" s="84">
        <v>1927.05</v>
      </c>
    </row>
    <row r="90" spans="1:8">
      <c r="A90" s="49" t="str">
        <f>HLOOKUP(INDICE!$F$2,Nombres!$C$3:$E$853,114)</f>
        <v xml:space="preserve">Financial liabilities held for trading </v>
      </c>
      <c r="B90" s="149">
        <v>1299.4548173763999</v>
      </c>
      <c r="C90" s="84">
        <v>1295.4152051413</v>
      </c>
      <c r="D90" s="84">
        <v>2191.6399986791998</v>
      </c>
      <c r="E90" s="150">
        <v>2416.0343231623001</v>
      </c>
      <c r="F90" s="158">
        <v>3072.2505597493</v>
      </c>
      <c r="G90" s="84">
        <v>3041.2360337907999</v>
      </c>
      <c r="H90" s="84">
        <v>4025.027</v>
      </c>
    </row>
    <row r="91" spans="1:8">
      <c r="A91" s="49" t="str">
        <f>HLOOKUP(INDICE!$F$2,Nombres!$C$3:$E$853,115)</f>
        <v>Other liabilities</v>
      </c>
      <c r="B91" s="149">
        <v>6618.4909706926946</v>
      </c>
      <c r="C91" s="84">
        <v>6575.7935693317113</v>
      </c>
      <c r="D91" s="84">
        <v>7476.1741914052982</v>
      </c>
      <c r="E91" s="150">
        <v>7433.6776789231071</v>
      </c>
      <c r="F91" s="158">
        <v>8003.8416427011925</v>
      </c>
      <c r="G91" s="84">
        <v>7943.1639836975</v>
      </c>
      <c r="H91" s="84">
        <v>8568.5081033099796</v>
      </c>
    </row>
    <row r="92" spans="1:8" ht="15" customHeight="1">
      <c r="A92" s="49" t="str">
        <f>HLOOKUP(INDICE!$F$2,Nombres!$C$3:$E$853,116)</f>
        <v>Economic capital allocated</v>
      </c>
      <c r="B92" s="149">
        <v>2060.3701217420999</v>
      </c>
      <c r="C92" s="84">
        <v>2097.5038760875</v>
      </c>
      <c r="D92" s="84">
        <v>2085.2734580515998</v>
      </c>
      <c r="E92" s="150">
        <v>2192.8364678672001</v>
      </c>
      <c r="F92" s="158">
        <v>2259.0256611014001</v>
      </c>
      <c r="G92" s="84">
        <v>2354.6875952433002</v>
      </c>
      <c r="H92" s="84">
        <v>2386.4915557099998</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35844.155342925107</v>
      </c>
      <c r="C97" s="157">
        <v>37323.843567747193</v>
      </c>
      <c r="D97" s="157">
        <v>38423.454681921401</v>
      </c>
      <c r="E97" s="157">
        <v>39729.978118884399</v>
      </c>
      <c r="F97" s="155">
        <v>40753.634926259205</v>
      </c>
      <c r="G97" s="157">
        <v>42494.780675625792</v>
      </c>
      <c r="H97" s="157">
        <v>44256.22715852</v>
      </c>
    </row>
    <row r="98" spans="1:8">
      <c r="A98" s="49" t="str">
        <f>HLOOKUP(INDICE!$F$2,Nombres!$C$3:$E$853,121)</f>
        <v>Customer deposits under management (**)</v>
      </c>
      <c r="B98" s="155">
        <v>34114.071435504498</v>
      </c>
      <c r="C98" s="157">
        <v>34273.721986151701</v>
      </c>
      <c r="D98" s="157">
        <v>34935.492328520202</v>
      </c>
      <c r="E98" s="157">
        <v>36651.724843403303</v>
      </c>
      <c r="F98" s="155">
        <v>38219.614602121699</v>
      </c>
      <c r="G98" s="157">
        <v>39761.083267438502</v>
      </c>
      <c r="H98" s="157">
        <v>41362.447566080002</v>
      </c>
    </row>
    <row r="99" spans="1:8">
      <c r="A99" s="49" t="str">
        <f>HLOOKUP(INDICE!$F$2,Nombres!$C$3:$E$853,122)</f>
        <v>Mutual funds</v>
      </c>
      <c r="B99" s="155">
        <v>3103.1986242386001</v>
      </c>
      <c r="C99" s="157">
        <v>3012.8027524876002</v>
      </c>
      <c r="D99" s="157">
        <v>3487.1875105569002</v>
      </c>
      <c r="E99" s="157">
        <v>3634.4457817908001</v>
      </c>
      <c r="F99" s="155">
        <v>3844.0915249604</v>
      </c>
      <c r="G99" s="157">
        <v>4014.0851565464</v>
      </c>
      <c r="H99" s="157">
        <v>4819.6333988099996</v>
      </c>
    </row>
    <row r="100" spans="1:8">
      <c r="A100" s="49" t="str">
        <f>HLOOKUP(INDICE!$F$2,Nombres!$C$3:$E$853,206)</f>
        <v>Pension funds</v>
      </c>
      <c r="B100" s="155">
        <v>4500.1629653107002</v>
      </c>
      <c r="C100" s="157">
        <v>4667.1353780621002</v>
      </c>
      <c r="D100" s="157">
        <v>4812.8600669691004</v>
      </c>
      <c r="E100" s="157">
        <v>5019.3939603647996</v>
      </c>
      <c r="F100" s="155">
        <v>5196.5219081146997</v>
      </c>
      <c r="G100" s="157">
        <v>5374.5168378771004</v>
      </c>
      <c r="H100" s="157">
        <v>5585.62164407</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H103"/>
  <sheetViews>
    <sheetView showGridLines="0" topLeftCell="A7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HLOOKUP(INDICE!$F$2,Nombres!$C$3:$E$853,15)</f>
        <v>Argentina</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125.44400015000001</v>
      </c>
      <c r="C6" s="83">
        <v>137.81756781999999</v>
      </c>
      <c r="D6" s="83">
        <v>160.00803138000001</v>
      </c>
      <c r="E6" s="148">
        <v>183.97694009000003</v>
      </c>
      <c r="F6" s="83">
        <v>202.79400002</v>
      </c>
      <c r="G6" s="83">
        <v>212.67900044000004</v>
      </c>
      <c r="H6" s="83">
        <v>211.12399956000002</v>
      </c>
    </row>
    <row r="7" spans="1:8">
      <c r="A7" s="49" t="str">
        <f>HLOOKUP(INDICE!$F$2,Nombres!$C$3:$E$853,39)</f>
        <v>Net fees and commissions</v>
      </c>
      <c r="B7" s="149">
        <v>43.566999420000002</v>
      </c>
      <c r="C7" s="84">
        <v>47.408477509999997</v>
      </c>
      <c r="D7" s="84">
        <v>49.11245555</v>
      </c>
      <c r="E7" s="150">
        <v>43.623467329999997</v>
      </c>
      <c r="F7" s="84">
        <v>59.147998489999992</v>
      </c>
      <c r="G7" s="84">
        <v>62.210002549999999</v>
      </c>
      <c r="H7" s="84">
        <v>59.868497609999991</v>
      </c>
    </row>
    <row r="8" spans="1:8">
      <c r="A8" s="49" t="str">
        <f>HLOOKUP(INDICE!$F$2,Nombres!$C$3:$E$853,40)</f>
        <v>Net trading income</v>
      </c>
      <c r="B8" s="149">
        <v>22.36300065</v>
      </c>
      <c r="C8" s="84">
        <v>30.643998799999999</v>
      </c>
      <c r="D8" s="84">
        <v>35.500001239999996</v>
      </c>
      <c r="E8" s="150">
        <v>35.614999519999998</v>
      </c>
      <c r="F8" s="84">
        <v>26.496000559999999</v>
      </c>
      <c r="G8" s="84">
        <v>20.154998619999997</v>
      </c>
      <c r="H8" s="84">
        <v>26.248000510000001</v>
      </c>
    </row>
    <row r="9" spans="1:8">
      <c r="A9" s="49" t="str">
        <f>HLOOKUP(INDICE!$F$2,Nombres!$C$3:$E$853,95)</f>
        <v>Other income/expenses</v>
      </c>
      <c r="B9" s="149">
        <v>17.174999</v>
      </c>
      <c r="C9" s="84">
        <v>19.938001440000001</v>
      </c>
      <c r="D9" s="84">
        <v>23.617999739999998</v>
      </c>
      <c r="E9" s="150">
        <v>21.069999359999997</v>
      </c>
      <c r="F9" s="84">
        <v>20.01699962</v>
      </c>
      <c r="G9" s="84">
        <v>20.262002330000001</v>
      </c>
      <c r="H9" s="84">
        <v>26.979998720000005</v>
      </c>
    </row>
    <row r="10" spans="1:8">
      <c r="A10" s="54" t="str">
        <f>HLOOKUP(INDICE!$F$2,Nombres!$C$3:$E$853,44)</f>
        <v>Gross income</v>
      </c>
      <c r="B10" s="147">
        <v>208.54899921999998</v>
      </c>
      <c r="C10" s="83">
        <v>235.80804556999999</v>
      </c>
      <c r="D10" s="83">
        <v>268.23848791</v>
      </c>
      <c r="E10" s="148">
        <v>284.28540629999998</v>
      </c>
      <c r="F10" s="83">
        <v>308.45499869000002</v>
      </c>
      <c r="G10" s="83">
        <v>315.30600393999998</v>
      </c>
      <c r="H10" s="83">
        <v>324.2204964</v>
      </c>
    </row>
    <row r="11" spans="1:8">
      <c r="A11" s="49" t="str">
        <f>HLOOKUP(INDICE!$F$2,Nombres!$C$3:$E$853,45)</f>
        <v>Operating expenses</v>
      </c>
      <c r="B11" s="149">
        <v>-109.90145151999999</v>
      </c>
      <c r="C11" s="84">
        <v>-117.72843919</v>
      </c>
      <c r="D11" s="84">
        <v>-116.03044022</v>
      </c>
      <c r="E11" s="150">
        <v>-129.87244572</v>
      </c>
      <c r="F11" s="84">
        <v>-159.75652811999998</v>
      </c>
      <c r="G11" s="84">
        <v>-161.46652796000001</v>
      </c>
      <c r="H11" s="84">
        <v>-165.48752489999998</v>
      </c>
    </row>
    <row r="12" spans="1:8">
      <c r="A12" s="49" t="str">
        <f>HLOOKUP(INDICE!$F$2,Nombres!$C$3:$E$853,46)</f>
        <v xml:space="preserve">  Administration expenses</v>
      </c>
      <c r="B12" s="149">
        <v>-106.09545211</v>
      </c>
      <c r="C12" s="84">
        <v>-114.00543992999999</v>
      </c>
      <c r="D12" s="84">
        <v>-111.91343963999999</v>
      </c>
      <c r="E12" s="150">
        <v>-125.03144452000001</v>
      </c>
      <c r="F12" s="84">
        <v>-154.20552809</v>
      </c>
      <c r="G12" s="84">
        <v>-154.62952937</v>
      </c>
      <c r="H12" s="84">
        <v>-159.68552447000002</v>
      </c>
    </row>
    <row r="13" spans="1:8">
      <c r="A13" s="88" t="str">
        <f>HLOOKUP(INDICE!$F$2,Nombres!$C$3:$E$853,47)</f>
        <v xml:space="preserve">  Personnel expenses</v>
      </c>
      <c r="B13" s="149">
        <v>-57.540000259999999</v>
      </c>
      <c r="C13" s="84">
        <v>-64.295000689999995</v>
      </c>
      <c r="D13" s="84">
        <v>-57.866997689999998</v>
      </c>
      <c r="E13" s="150">
        <v>-68.282001070000007</v>
      </c>
      <c r="F13" s="84">
        <v>-89.47300036</v>
      </c>
      <c r="G13" s="84">
        <v>-84.586000330000005</v>
      </c>
      <c r="H13" s="84">
        <v>-86.3439999</v>
      </c>
    </row>
    <row r="14" spans="1:8">
      <c r="A14" s="88" t="str">
        <f>HLOOKUP(INDICE!$F$2,Nombres!$C$3:$E$853,48)</f>
        <v xml:space="preserve">  General and administrative expenses</v>
      </c>
      <c r="B14" s="149">
        <v>-48.555451849999997</v>
      </c>
      <c r="C14" s="84">
        <v>-49.710439239999999</v>
      </c>
      <c r="D14" s="84">
        <v>-54.046441950000002</v>
      </c>
      <c r="E14" s="150">
        <v>-56.749443450000001</v>
      </c>
      <c r="F14" s="84">
        <v>-64.732527730000001</v>
      </c>
      <c r="G14" s="84">
        <v>-70.043529039999996</v>
      </c>
      <c r="H14" s="84">
        <v>-73.34152456999999</v>
      </c>
    </row>
    <row r="15" spans="1:8" ht="13.5" customHeight="1">
      <c r="A15" s="49" t="str">
        <f>HLOOKUP(INDICE!$F$2,Nombres!$C$3:$E$853,49)</f>
        <v xml:space="preserve">  Depreciation and amortization</v>
      </c>
      <c r="B15" s="149">
        <v>-3.8059994100000001</v>
      </c>
      <c r="C15" s="84">
        <v>-3.7229992599999999</v>
      </c>
      <c r="D15" s="84">
        <v>-4.11700058</v>
      </c>
      <c r="E15" s="150">
        <v>-4.8410012</v>
      </c>
      <c r="F15" s="84">
        <v>-5.55100003</v>
      </c>
      <c r="G15" s="84">
        <v>-6.8369985900000003</v>
      </c>
      <c r="H15" s="84">
        <v>-5.8020004299999997</v>
      </c>
    </row>
    <row r="16" spans="1:8" ht="12.75" customHeight="1">
      <c r="A16" s="54" t="str">
        <f>HLOOKUP(INDICE!$F$2,Nombres!$C$3:$E$853,50)</f>
        <v>Operating income</v>
      </c>
      <c r="B16" s="147">
        <v>98.64754769999999</v>
      </c>
      <c r="C16" s="83">
        <v>118.07960638</v>
      </c>
      <c r="D16" s="83">
        <v>152.20804769</v>
      </c>
      <c r="E16" s="148">
        <v>154.41296058</v>
      </c>
      <c r="F16" s="83">
        <v>148.69847056999998</v>
      </c>
      <c r="G16" s="83">
        <v>153.83947598</v>
      </c>
      <c r="H16" s="83">
        <v>158.73297149999999</v>
      </c>
    </row>
    <row r="17" spans="1:8" ht="13.5" customHeight="1">
      <c r="A17" s="49" t="str">
        <f>HLOOKUP(INDICE!$F$2,Nombres!$C$3:$E$853,51)</f>
        <v>Impairment on financial assets (net)</v>
      </c>
      <c r="B17" s="149">
        <v>-10.187999829999999</v>
      </c>
      <c r="C17" s="84">
        <v>-14.063000109999999</v>
      </c>
      <c r="D17" s="84">
        <v>-15.703000289999999</v>
      </c>
      <c r="E17" s="150">
        <v>-12.84400014</v>
      </c>
      <c r="F17" s="84">
        <v>-15.01099979</v>
      </c>
      <c r="G17" s="84">
        <v>-21.683000249999999</v>
      </c>
      <c r="H17" s="84">
        <v>-11.0559998</v>
      </c>
    </row>
    <row r="18" spans="1:8" ht="13.5" customHeight="1">
      <c r="A18" s="49" t="str">
        <f>HLOOKUP(INDICE!$F$2,Nombres!$C$3:$E$853,160)</f>
        <v>Provisions (net) and other gains/losses</v>
      </c>
      <c r="B18" s="149">
        <v>-7.026999420000001</v>
      </c>
      <c r="C18" s="84">
        <v>-7.3089997400000009</v>
      </c>
      <c r="D18" s="84">
        <v>-28.867000990000001</v>
      </c>
      <c r="E18" s="150">
        <v>-8.9359997799999995</v>
      </c>
      <c r="F18" s="84">
        <v>-14.554001299999999</v>
      </c>
      <c r="G18" s="84">
        <v>-8.6759996800000003</v>
      </c>
      <c r="H18" s="84">
        <v>-7.4649989800000007</v>
      </c>
    </row>
    <row r="19" spans="1:8" ht="12.75" customHeight="1">
      <c r="A19" s="54" t="str">
        <f>HLOOKUP(INDICE!$F$2,Nombres!$C$3:$E$853,54)</f>
        <v>Income before tax</v>
      </c>
      <c r="B19" s="147">
        <v>81.432548449999999</v>
      </c>
      <c r="C19" s="83">
        <v>96.707606530000007</v>
      </c>
      <c r="D19" s="83">
        <v>107.63804641</v>
      </c>
      <c r="E19" s="148">
        <v>132.63296066000001</v>
      </c>
      <c r="F19" s="83">
        <v>119.13346948</v>
      </c>
      <c r="G19" s="83">
        <v>123.48047604999999</v>
      </c>
      <c r="H19" s="83">
        <v>140.21197272000001</v>
      </c>
    </row>
    <row r="20" spans="1:8" ht="13.5" customHeight="1">
      <c r="A20" s="49" t="str">
        <f>HLOOKUP(INDICE!$F$2,Nombres!$C$3:$E$853,55)</f>
        <v>Income tax</v>
      </c>
      <c r="B20" s="149">
        <v>-25.47254186</v>
      </c>
      <c r="C20" s="84">
        <v>-31.119912299999999</v>
      </c>
      <c r="D20" s="84">
        <v>-35.419491610000001</v>
      </c>
      <c r="E20" s="150">
        <v>-44.275344359999998</v>
      </c>
      <c r="F20" s="84">
        <v>-40.925165810000003</v>
      </c>
      <c r="G20" s="84">
        <v>-41.028465619999999</v>
      </c>
      <c r="H20" s="84">
        <v>-46.536398770000005</v>
      </c>
    </row>
    <row r="21" spans="1:8" ht="13.5" customHeight="1">
      <c r="A21" s="54" t="str">
        <f>HLOOKUP(INDICE!$F$2,Nombres!$C$3:$E$853,56)</f>
        <v>Net income</v>
      </c>
      <c r="B21" s="147">
        <v>55.960006589999992</v>
      </c>
      <c r="C21" s="83">
        <v>65.587694229999997</v>
      </c>
      <c r="D21" s="83">
        <v>72.218554800000007</v>
      </c>
      <c r="E21" s="148">
        <v>88.357616300000004</v>
      </c>
      <c r="F21" s="83">
        <v>78.208303669999992</v>
      </c>
      <c r="G21" s="83">
        <v>82.452010430000001</v>
      </c>
      <c r="H21" s="83">
        <v>93.67557395</v>
      </c>
    </row>
    <row r="22" spans="1:8" ht="12" customHeight="1">
      <c r="A22" s="49" t="str">
        <f>HLOOKUP(INDICE!$F$2,Nombres!$C$3:$E$853,57)</f>
        <v>Non-controlling interests</v>
      </c>
      <c r="B22" s="149">
        <v>-13.06063529</v>
      </c>
      <c r="C22" s="84">
        <v>-15.07024974</v>
      </c>
      <c r="D22" s="84">
        <v>-17.166348670000001</v>
      </c>
      <c r="E22" s="150">
        <v>-20.1620043</v>
      </c>
      <c r="F22" s="84">
        <v>-17.969984</v>
      </c>
      <c r="G22" s="84">
        <v>-19.011412010000001</v>
      </c>
      <c r="H22" s="84">
        <v>-20.70652011</v>
      </c>
    </row>
    <row r="23" spans="1:8" ht="14.25" customHeight="1">
      <c r="A23" s="54" t="str">
        <f>HLOOKUP(INDICE!$F$2,Nombres!$C$3:$E$853,58)</f>
        <v>Net attributable profit</v>
      </c>
      <c r="B23" s="147">
        <v>42.899371299999999</v>
      </c>
      <c r="C23" s="83">
        <v>50.517444490000003</v>
      </c>
      <c r="D23" s="83">
        <v>55.052206130000002</v>
      </c>
      <c r="E23" s="148">
        <v>68.195611999999997</v>
      </c>
      <c r="F23" s="83">
        <v>60.238319670000003</v>
      </c>
      <c r="G23" s="83">
        <v>63.440598420000001</v>
      </c>
      <c r="H23" s="83">
        <v>72.969053840000001</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1148.788</v>
      </c>
      <c r="C27" s="84">
        <v>1210.155</v>
      </c>
      <c r="D27" s="84">
        <v>1328.9680000000001</v>
      </c>
      <c r="E27" s="150">
        <v>1266.1130000000001</v>
      </c>
      <c r="F27" s="84">
        <v>1376.0239999999999</v>
      </c>
      <c r="G27" s="84">
        <v>1266.1610000000001</v>
      </c>
      <c r="H27" s="84">
        <v>1354.3009999999999</v>
      </c>
    </row>
    <row r="28" spans="1:8">
      <c r="A28" s="49" t="str">
        <f>HLOOKUP(INDICE!$F$2,Nombres!$C$3:$E$853,101)</f>
        <v>Financial assets</v>
      </c>
      <c r="B28" s="149">
        <v>547.11699999999996</v>
      </c>
      <c r="C28" s="84">
        <v>712.94299999999998</v>
      </c>
      <c r="D28" s="84">
        <v>681.47500000000002</v>
      </c>
      <c r="E28" s="150">
        <v>1022.58</v>
      </c>
      <c r="F28" s="84">
        <v>1325.0840000000001</v>
      </c>
      <c r="G28" s="84">
        <v>1385.9190000000001</v>
      </c>
      <c r="H28" s="84">
        <v>1313.8420000000001</v>
      </c>
    </row>
    <row r="29" spans="1:8">
      <c r="A29" s="49" t="str">
        <f>HLOOKUP(INDICE!$F$2,Nombres!$C$3:$E$853,102)</f>
        <v>Loans and receivables</v>
      </c>
      <c r="B29" s="149">
        <v>3581.1280000000002</v>
      </c>
      <c r="C29" s="84">
        <v>3673.4850000000001</v>
      </c>
      <c r="D29" s="84">
        <v>4145.8469999999998</v>
      </c>
      <c r="E29" s="150">
        <v>4345.2370000000001</v>
      </c>
      <c r="F29" s="84">
        <v>5125.7910000000002</v>
      </c>
      <c r="G29" s="84">
        <v>5214.848</v>
      </c>
      <c r="H29" s="84">
        <v>5271.46</v>
      </c>
    </row>
    <row r="30" spans="1:8">
      <c r="A30" s="49" t="str">
        <f>HLOOKUP(INDICE!$F$2,Nombres!$C$3:$E$853,103)</f>
        <v xml:space="preserve">  . Loans and advances to customers</v>
      </c>
      <c r="B30" s="149">
        <v>3140.5770000000002</v>
      </c>
      <c r="C30" s="84">
        <v>3268.701</v>
      </c>
      <c r="D30" s="84">
        <v>3691.232</v>
      </c>
      <c r="E30" s="150">
        <v>3905.8820000000001</v>
      </c>
      <c r="F30" s="84">
        <v>4474.2259999999997</v>
      </c>
      <c r="G30" s="84">
        <v>4584.3559999999998</v>
      </c>
      <c r="H30" s="84">
        <v>4666.6639999999998</v>
      </c>
    </row>
    <row r="31" spans="1:8">
      <c r="A31" s="49" t="str">
        <f>HLOOKUP(INDICE!$F$2,Nombres!$C$3:$E$853,104)</f>
        <v xml:space="preserve">  . Loans and advances to credit institutions and other</v>
      </c>
      <c r="B31" s="154">
        <v>440.55099999999999</v>
      </c>
      <c r="C31" s="84">
        <v>404.78399999999999</v>
      </c>
      <c r="D31" s="84">
        <v>454.61500000000001</v>
      </c>
      <c r="E31" s="150">
        <v>439.35500000000002</v>
      </c>
      <c r="F31" s="84">
        <v>651.56500000000005</v>
      </c>
      <c r="G31" s="84">
        <v>630.49199999999996</v>
      </c>
      <c r="H31" s="84">
        <v>604.79600000000005</v>
      </c>
    </row>
    <row r="32" spans="1:8">
      <c r="A32" s="49" t="str">
        <f>HLOOKUP(INDICE!$F$2,Nombres!$C$3:$E$853,106)</f>
        <v>Tangible assets</v>
      </c>
      <c r="B32" s="149">
        <v>134.72900000000001</v>
      </c>
      <c r="C32" s="84">
        <v>148.25399999999999</v>
      </c>
      <c r="D32" s="84">
        <v>173.66399999999999</v>
      </c>
      <c r="E32" s="150">
        <v>201.26400000000001</v>
      </c>
      <c r="F32" s="84">
        <v>231.904</v>
      </c>
      <c r="G32" s="84">
        <v>231.45500000000001</v>
      </c>
      <c r="H32" s="84">
        <v>231.46700000000001</v>
      </c>
    </row>
    <row r="33" spans="1:8">
      <c r="A33" s="49" t="str">
        <f>HLOOKUP(INDICE!$F$2,Nombres!$C$3:$E$853,107)</f>
        <v>Other assets</v>
      </c>
      <c r="B33" s="149">
        <v>162.47200000000001</v>
      </c>
      <c r="C33" s="84">
        <v>170.084</v>
      </c>
      <c r="D33" s="84">
        <v>177.751</v>
      </c>
      <c r="E33" s="150">
        <v>184.27363459999879</v>
      </c>
      <c r="F33" s="84">
        <v>185.89599999999999</v>
      </c>
      <c r="G33" s="84">
        <v>201.86099999999999</v>
      </c>
      <c r="H33" s="84">
        <v>205.613</v>
      </c>
    </row>
    <row r="34" spans="1:8">
      <c r="A34" s="54" t="str">
        <f>HLOOKUP(INDICE!$F$2,Nombres!$C$3:$E$853,108)</f>
        <v>Total assets / Liabilities and equity</v>
      </c>
      <c r="B34" s="147">
        <v>5574.2340000000004</v>
      </c>
      <c r="C34" s="83">
        <v>5914.9209999999994</v>
      </c>
      <c r="D34" s="83">
        <v>6507.7049999999999</v>
      </c>
      <c r="E34" s="148">
        <v>7019.4676345999997</v>
      </c>
      <c r="F34" s="83">
        <v>8244.6990000000005</v>
      </c>
      <c r="G34" s="83">
        <v>8300.2440000000006</v>
      </c>
      <c r="H34" s="83">
        <v>8376.6829999999991</v>
      </c>
    </row>
    <row r="35" spans="1:8">
      <c r="A35" s="49" t="str">
        <f>HLOOKUP(INDICE!$F$2,Nombres!$C$3:$E$853,109)</f>
        <v>Deposits from central banks and credit institutions</v>
      </c>
      <c r="B35" s="149">
        <v>28.983000000000001</v>
      </c>
      <c r="C35" s="84">
        <v>54.372</v>
      </c>
      <c r="D35" s="84">
        <v>61.680999999999997</v>
      </c>
      <c r="E35" s="150">
        <v>58.29</v>
      </c>
      <c r="F35" s="84">
        <v>66.111000000000004</v>
      </c>
      <c r="G35" s="84">
        <v>183.21100000000001</v>
      </c>
      <c r="H35" s="84">
        <v>96.549000000000007</v>
      </c>
    </row>
    <row r="36" spans="1:8">
      <c r="A36" s="49" t="str">
        <f>HLOOKUP(INDICE!$F$2,Nombres!$C$3:$E$853,110)</f>
        <v>Deposits from customers</v>
      </c>
      <c r="B36" s="149">
        <v>4060.9560000000001</v>
      </c>
      <c r="C36" s="84">
        <v>4318.116</v>
      </c>
      <c r="D36" s="84">
        <v>4660.49</v>
      </c>
      <c r="E36" s="150">
        <v>4945.3029999999999</v>
      </c>
      <c r="F36" s="84">
        <v>5829.348</v>
      </c>
      <c r="G36" s="84">
        <v>5895.0290000000005</v>
      </c>
      <c r="H36" s="84">
        <v>5973.1719999999996</v>
      </c>
    </row>
    <row r="37" spans="1:8">
      <c r="A37" s="49" t="str">
        <f>HLOOKUP(INDICE!$F$2,Nombres!$C$3:$E$853,111)</f>
        <v>Debt certificates</v>
      </c>
      <c r="B37" s="149">
        <v>95.031000000000006</v>
      </c>
      <c r="C37" s="84">
        <v>93.534999999999997</v>
      </c>
      <c r="D37" s="84">
        <v>137.26400000000001</v>
      </c>
      <c r="E37" s="150">
        <v>163.05500000000001</v>
      </c>
      <c r="F37" s="84">
        <v>179.74600000000001</v>
      </c>
      <c r="G37" s="84">
        <v>157.94999999999999</v>
      </c>
      <c r="H37" s="84">
        <v>147.13999999999999</v>
      </c>
    </row>
    <row r="38" spans="1:8" ht="13.5" customHeight="1">
      <c r="A38" s="49" t="str">
        <f>HLOOKUP(INDICE!$F$2,Nombres!$C$3:$E$853,112)</f>
        <v>Subordinated liabilities</v>
      </c>
      <c r="B38" s="241">
        <v>0</v>
      </c>
      <c r="C38" s="236">
        <v>0</v>
      </c>
      <c r="D38" s="236">
        <v>0</v>
      </c>
      <c r="E38" s="237">
        <v>0</v>
      </c>
      <c r="F38" s="236">
        <v>0</v>
      </c>
      <c r="G38" s="236">
        <v>0</v>
      </c>
      <c r="H38" s="236">
        <v>0</v>
      </c>
    </row>
    <row r="39" spans="1:8">
      <c r="A39" s="49" t="str">
        <f>HLOOKUP(INDICE!$F$2,Nombres!$C$3:$E$853,114)</f>
        <v xml:space="preserve">Financial liabilities held for trading </v>
      </c>
      <c r="B39" s="149">
        <v>5.5730000000000004</v>
      </c>
      <c r="C39" s="84">
        <v>1.365</v>
      </c>
      <c r="D39" s="84">
        <v>0.36199999999999999</v>
      </c>
      <c r="E39" s="150">
        <v>0.125</v>
      </c>
      <c r="F39" s="84">
        <v>-0.86799999999999999</v>
      </c>
      <c r="G39" s="84">
        <v>5.6609999999999996</v>
      </c>
      <c r="H39" s="84">
        <v>3.7999999999999999E-2</v>
      </c>
    </row>
    <row r="40" spans="1:8">
      <c r="A40" s="49" t="str">
        <f>HLOOKUP(INDICE!$F$2,Nombres!$C$3:$E$853,115)</f>
        <v>Other liabilities</v>
      </c>
      <c r="B40" s="149">
        <v>1073.3778999999997</v>
      </c>
      <c r="C40" s="84">
        <v>1144.3025999999998</v>
      </c>
      <c r="D40" s="84">
        <v>1338.6368447299988</v>
      </c>
      <c r="E40" s="150">
        <v>1530.2815008399998</v>
      </c>
      <c r="F40" s="84">
        <v>1732.0073200000008</v>
      </c>
      <c r="G40" s="84">
        <v>1604.6202000000003</v>
      </c>
      <c r="H40" s="84">
        <v>1708.2504456799993</v>
      </c>
    </row>
    <row r="41" spans="1:8" ht="12.75" customHeight="1">
      <c r="A41" s="49" t="str">
        <f>HLOOKUP(INDICE!$F$2,Nombres!$C$3:$E$853,116)</f>
        <v>Economic capital allocated</v>
      </c>
      <c r="B41" s="149">
        <v>310.31310000000002</v>
      </c>
      <c r="C41" s="84">
        <v>303.23039999999997</v>
      </c>
      <c r="D41" s="84">
        <v>309.27115527000001</v>
      </c>
      <c r="E41" s="150">
        <v>322.41313375999999</v>
      </c>
      <c r="F41" s="84">
        <v>438.35467999999997</v>
      </c>
      <c r="G41" s="84">
        <v>453.77280000000002</v>
      </c>
      <c r="H41" s="84">
        <v>451.53355432000001</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3247.8549999999996</v>
      </c>
      <c r="C45" s="157">
        <v>3383.9589999999998</v>
      </c>
      <c r="D45" s="157">
        <v>3819.933</v>
      </c>
      <c r="E45" s="157">
        <v>4045.5509999999999</v>
      </c>
      <c r="F45" s="155">
        <v>4629.0869999999995</v>
      </c>
      <c r="G45" s="157">
        <v>4740.8099999999995</v>
      </c>
      <c r="H45" s="157">
        <v>4821.1180000000004</v>
      </c>
    </row>
    <row r="46" spans="1:8">
      <c r="A46" s="49" t="str">
        <f>HLOOKUP(INDICE!$F$2,Nombres!$C$3:$E$853,121)</f>
        <v>Customer deposits under management (**)</v>
      </c>
      <c r="B46" s="155">
        <v>3987.8126320699998</v>
      </c>
      <c r="C46" s="157">
        <v>4225.3175226800004</v>
      </c>
      <c r="D46" s="157">
        <v>4541.4825324200001</v>
      </c>
      <c r="E46" s="157">
        <v>4868.6022575999996</v>
      </c>
      <c r="F46" s="155">
        <v>5729.4201930199997</v>
      </c>
      <c r="G46" s="157">
        <v>5793.8344331799999</v>
      </c>
      <c r="H46" s="157">
        <v>5875.4590554799997</v>
      </c>
    </row>
    <row r="47" spans="1:8">
      <c r="A47" s="49" t="str">
        <f>HLOOKUP(INDICE!$F$2,Nombres!$C$3:$E$853,122)</f>
        <v>Mutual funds</v>
      </c>
      <c r="B47" s="155">
        <v>281.19901972000002</v>
      </c>
      <c r="C47" s="157">
        <v>317.34047855</v>
      </c>
      <c r="D47" s="157">
        <v>506.88692964000001</v>
      </c>
      <c r="E47" s="157">
        <v>647.23638722999999</v>
      </c>
      <c r="F47" s="155">
        <v>819.06714019000003</v>
      </c>
      <c r="G47" s="157">
        <v>941.97837758000003</v>
      </c>
      <c r="H47" s="157">
        <v>1045.9554392299999</v>
      </c>
    </row>
    <row r="48" spans="1:8">
      <c r="A48" s="49" t="str">
        <f>HLOOKUP(INDICE!$F$2,Nombres!$C$3:$E$853,206)</f>
        <v>Pension funds</v>
      </c>
      <c r="B48" s="238">
        <v>0</v>
      </c>
      <c r="C48" s="239">
        <v>0</v>
      </c>
      <c r="D48" s="239">
        <v>0</v>
      </c>
      <c r="E48" s="239">
        <v>0</v>
      </c>
      <c r="F48" s="238">
        <v>0</v>
      </c>
      <c r="G48" s="239">
        <v>0</v>
      </c>
      <c r="H48" s="239">
        <v>0</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130.6376204984</v>
      </c>
      <c r="C56" s="83">
        <v>152.01283861619999</v>
      </c>
      <c r="D56" s="83">
        <v>175.64484489279999</v>
      </c>
      <c r="E56" s="148">
        <v>196.47533252369999</v>
      </c>
      <c r="F56" s="54">
        <v>198.59932896510003</v>
      </c>
      <c r="G56" s="54">
        <v>210.5526863577</v>
      </c>
      <c r="H56" s="54">
        <v>217.44498469720003</v>
      </c>
    </row>
    <row r="57" spans="1:8">
      <c r="A57" s="49" t="str">
        <f>HLOOKUP(INDICE!$F$2,Nombres!$C$3:$E$853,39)</f>
        <v>Net fees and commissions</v>
      </c>
      <c r="B57" s="149">
        <v>45.370756111699997</v>
      </c>
      <c r="C57" s="84">
        <v>52.304952958599998</v>
      </c>
      <c r="D57" s="84">
        <v>54.004547915399996</v>
      </c>
      <c r="E57" s="150">
        <v>46.4086943362</v>
      </c>
      <c r="F57" s="73">
        <v>57.924557968100004</v>
      </c>
      <c r="G57" s="73">
        <v>61.58710860490001</v>
      </c>
      <c r="H57" s="73">
        <v>61.714832076899995</v>
      </c>
    </row>
    <row r="58" spans="1:8">
      <c r="A58" s="49" t="str">
        <f>HLOOKUP(INDICE!$F$2,Nombres!$C$3:$E$853,40)</f>
        <v>Net trading income</v>
      </c>
      <c r="B58" s="149">
        <v>23.288871437700003</v>
      </c>
      <c r="C58" s="84">
        <v>33.622028418900001</v>
      </c>
      <c r="D58" s="84">
        <v>38.920085525499999</v>
      </c>
      <c r="E58" s="150">
        <v>38.005003473400002</v>
      </c>
      <c r="F58" s="73">
        <v>25.9479468374</v>
      </c>
      <c r="G58" s="73">
        <v>19.993306409399999</v>
      </c>
      <c r="H58" s="73">
        <v>26.957746443200001</v>
      </c>
    </row>
    <row r="59" spans="1:8" ht="17.25" customHeight="1">
      <c r="A59" s="49" t="str">
        <f>HLOOKUP(INDICE!$F$2,Nombres!$C$3:$E$853,95)</f>
        <v>Other income/expenses</v>
      </c>
      <c r="B59" s="149">
        <v>17.886076645599999</v>
      </c>
      <c r="C59" s="84">
        <v>21.960250694799999</v>
      </c>
      <c r="D59" s="84">
        <v>25.910183953800001</v>
      </c>
      <c r="E59" s="150">
        <v>22.446366876199999</v>
      </c>
      <c r="F59" s="73">
        <v>19.602960107400001</v>
      </c>
      <c r="G59" s="73">
        <v>20.063239151699999</v>
      </c>
      <c r="H59" s="73">
        <v>27.592801410899998</v>
      </c>
    </row>
    <row r="60" spans="1:8" ht="15.75" customHeight="1">
      <c r="A60" s="54" t="str">
        <f>HLOOKUP(INDICE!$F$2,Nombres!$C$3:$E$853,44)</f>
        <v>Gross income</v>
      </c>
      <c r="B60" s="147">
        <v>217.1833246935</v>
      </c>
      <c r="C60" s="83">
        <v>259.90007068850002</v>
      </c>
      <c r="D60" s="83">
        <v>294.47966228759998</v>
      </c>
      <c r="E60" s="148">
        <v>303.3353972095</v>
      </c>
      <c r="F60" s="54">
        <v>302.07479387800004</v>
      </c>
      <c r="G60" s="54">
        <v>312.19634052360004</v>
      </c>
      <c r="H60" s="54">
        <v>333.71036462839999</v>
      </c>
    </row>
    <row r="61" spans="1:8">
      <c r="A61" s="49" t="str">
        <f>HLOOKUP(INDICE!$F$2,Nombres!$C$3:$E$853,45)</f>
        <v>Operating expenses</v>
      </c>
      <c r="B61" s="149">
        <v>-114.45158077489999</v>
      </c>
      <c r="C61" s="84">
        <v>-129.9429718122</v>
      </c>
      <c r="D61" s="84">
        <v>-127.70378870810001</v>
      </c>
      <c r="E61" s="150">
        <v>-138.49387693519998</v>
      </c>
      <c r="F61" s="73">
        <v>-156.4520611028</v>
      </c>
      <c r="G61" s="73">
        <v>-159.8839237091</v>
      </c>
      <c r="H61" s="73">
        <v>-170.37459616820001</v>
      </c>
    </row>
    <row r="62" spans="1:8">
      <c r="A62" s="49" t="str">
        <f>HLOOKUP(INDICE!$F$2,Nombres!$C$3:$E$853,46)</f>
        <v xml:space="preserve">  Administration expenses</v>
      </c>
      <c r="B62" s="149">
        <v>-110.48800574580001</v>
      </c>
      <c r="C62" s="84">
        <v>-125.82304666629999</v>
      </c>
      <c r="D62" s="84">
        <v>-123.1775791971</v>
      </c>
      <c r="E62" s="150">
        <v>-133.32628682949999</v>
      </c>
      <c r="F62" s="73">
        <v>-151.01588014610002</v>
      </c>
      <c r="G62" s="73">
        <v>-153.12057642779999</v>
      </c>
      <c r="H62" s="73">
        <v>-164.384125356</v>
      </c>
    </row>
    <row r="63" spans="1:8">
      <c r="A63" s="189" t="str">
        <f>HLOOKUP(INDICE!$F$2,Nombres!$C$3:$E$853,47)</f>
        <v xml:space="preserve">  Personnel expenses</v>
      </c>
      <c r="B63" s="149">
        <v>-59.922265779599996</v>
      </c>
      <c r="C63" s="84">
        <v>-70.885733353400013</v>
      </c>
      <c r="D63" s="84">
        <v>-63.764401587400002</v>
      </c>
      <c r="E63" s="150">
        <v>-72.819228204200002</v>
      </c>
      <c r="F63" s="73">
        <v>-87.622305542599989</v>
      </c>
      <c r="G63" s="73">
        <v>-83.788570347000004</v>
      </c>
      <c r="H63" s="73">
        <v>-88.992124700299996</v>
      </c>
    </row>
    <row r="64" spans="1:8">
      <c r="A64" s="189" t="str">
        <f>HLOOKUP(INDICE!$F$2,Nombres!$C$3:$E$853,48)</f>
        <v xml:space="preserve">  General and administrative expenses</v>
      </c>
      <c r="B64" s="149">
        <v>-50.565739966199999</v>
      </c>
      <c r="C64" s="84">
        <v>-54.937313312899995</v>
      </c>
      <c r="D64" s="84">
        <v>-59.413177609799995</v>
      </c>
      <c r="E64" s="150">
        <v>-60.507058625300004</v>
      </c>
      <c r="F64" s="73">
        <v>-63.393574603499999</v>
      </c>
      <c r="G64" s="73">
        <v>-69.332006080900001</v>
      </c>
      <c r="H64" s="73">
        <v>-75.392000655700002</v>
      </c>
    </row>
    <row r="65" spans="1:8" ht="13.5" customHeight="1">
      <c r="A65" s="49" t="str">
        <f>HLOOKUP(INDICE!$F$2,Nombres!$C$3:$E$853,49)</f>
        <v xml:space="preserve">  Depreciation and amortization</v>
      </c>
      <c r="B65" s="149">
        <v>-3.9635750291000003</v>
      </c>
      <c r="C65" s="84">
        <v>-4.1199251458999999</v>
      </c>
      <c r="D65" s="84">
        <v>-4.5262095111000002</v>
      </c>
      <c r="E65" s="150">
        <v>-5.1675901057000004</v>
      </c>
      <c r="F65" s="73">
        <v>-5.4361809566999995</v>
      </c>
      <c r="G65" s="73">
        <v>-6.7633472812999997</v>
      </c>
      <c r="H65" s="73">
        <v>-5.9904708120999999</v>
      </c>
    </row>
    <row r="66" spans="1:8" ht="14.25" customHeight="1">
      <c r="A66" s="54" t="str">
        <f>HLOOKUP(INDICE!$F$2,Nombres!$C$3:$E$853,50)</f>
        <v>Operating income</v>
      </c>
      <c r="B66" s="147">
        <v>102.7317439185</v>
      </c>
      <c r="C66" s="83">
        <v>129.95709887640001</v>
      </c>
      <c r="D66" s="83">
        <v>166.7758735793</v>
      </c>
      <c r="E66" s="148">
        <v>164.84152027440001</v>
      </c>
      <c r="F66" s="54">
        <v>145.62273277520001</v>
      </c>
      <c r="G66" s="54">
        <v>152.31241681450001</v>
      </c>
      <c r="H66" s="54">
        <v>163.33576846030002</v>
      </c>
    </row>
    <row r="67" spans="1:8">
      <c r="A67" s="49" t="str">
        <f>HLOOKUP(INDICE!$F$2,Nombres!$C$3:$E$853,51)</f>
        <v>Impairment on financial assets (net)</v>
      </c>
      <c r="B67" s="149">
        <v>-10.609802412500001</v>
      </c>
      <c r="C67" s="84">
        <v>-15.427253888200001</v>
      </c>
      <c r="D67" s="84">
        <v>-17.223151164900003</v>
      </c>
      <c r="E67" s="150">
        <v>-13.669849874499999</v>
      </c>
      <c r="F67" s="73">
        <v>-14.7005063517</v>
      </c>
      <c r="G67" s="73">
        <v>-21.435233034500001</v>
      </c>
      <c r="H67" s="73">
        <v>-11.6142604538</v>
      </c>
    </row>
    <row r="68" spans="1:8" ht="16.5" customHeight="1">
      <c r="A68" s="49" t="str">
        <f>HLOOKUP(INDICE!$F$2,Nombres!$C$3:$E$853,160)</f>
        <v>Provisions (net) and other gains/losses</v>
      </c>
      <c r="B68" s="149">
        <v>-7.3179305696999997</v>
      </c>
      <c r="C68" s="84">
        <v>-8.0738973211000005</v>
      </c>
      <c r="D68" s="84">
        <v>-31.386235353300002</v>
      </c>
      <c r="E68" s="150">
        <v>-9.4414192144999998</v>
      </c>
      <c r="F68" s="73">
        <v>-14.252960598800001</v>
      </c>
      <c r="G68" s="73">
        <v>-8.6236203256999993</v>
      </c>
      <c r="H68" s="73">
        <v>-7.8184190355999998</v>
      </c>
    </row>
    <row r="69" spans="1:8" ht="12.75" customHeight="1">
      <c r="A69" s="54" t="str">
        <f>HLOOKUP(INDICE!$F$2,Nombres!$C$3:$E$853,54)</f>
        <v>Income before tax</v>
      </c>
      <c r="B69" s="147">
        <v>84.804010936400005</v>
      </c>
      <c r="C69" s="83">
        <v>106.45594766720001</v>
      </c>
      <c r="D69" s="83">
        <v>118.166487061</v>
      </c>
      <c r="E69" s="148">
        <v>141.73025118519999</v>
      </c>
      <c r="F69" s="54">
        <v>116.66926582479999</v>
      </c>
      <c r="G69" s="54">
        <v>122.25356345439999</v>
      </c>
      <c r="H69" s="54">
        <v>143.9030889709</v>
      </c>
    </row>
    <row r="70" spans="1:8" ht="13.5" customHeight="1">
      <c r="A70" s="49" t="str">
        <f>HLOOKUP(INDICE!$F$2,Nombres!$C$3:$E$853,55)</f>
        <v>Income tax</v>
      </c>
      <c r="B70" s="149">
        <v>-26.527153571699998</v>
      </c>
      <c r="C70" s="84">
        <v>-34.233265330600005</v>
      </c>
      <c r="D70" s="84">
        <v>-38.865546968399997</v>
      </c>
      <c r="E70" s="150">
        <v>-47.327388185100006</v>
      </c>
      <c r="F70" s="73">
        <v>-40.078653544200002</v>
      </c>
      <c r="G70" s="73">
        <v>-40.628139497600003</v>
      </c>
      <c r="H70" s="73">
        <v>-47.783237158200002</v>
      </c>
    </row>
    <row r="71" spans="1:8" ht="12.75" customHeight="1">
      <c r="A71" s="54" t="str">
        <f>HLOOKUP(INDICE!$F$2,Nombres!$C$3:$E$853,56)</f>
        <v>Net income</v>
      </c>
      <c r="B71" s="147">
        <v>58.276857364700007</v>
      </c>
      <c r="C71" s="83">
        <v>72.222682336600002</v>
      </c>
      <c r="D71" s="83">
        <v>79.300940092499999</v>
      </c>
      <c r="E71" s="148">
        <v>94.4028630002</v>
      </c>
      <c r="F71" s="54">
        <v>76.590612280599998</v>
      </c>
      <c r="G71" s="54">
        <v>81.62542395669999</v>
      </c>
      <c r="H71" s="54">
        <v>96.119851812700006</v>
      </c>
    </row>
    <row r="72" spans="1:8" ht="12.75" customHeight="1">
      <c r="A72" s="49" t="str">
        <f>HLOOKUP(INDICE!$F$2,Nombres!$C$3:$E$853,57)</f>
        <v>Non-controlling interests</v>
      </c>
      <c r="B72" s="149">
        <v>-13.601370447600001</v>
      </c>
      <c r="C72" s="84">
        <v>-16.601319714599999</v>
      </c>
      <c r="D72" s="84">
        <v>-18.842905177200002</v>
      </c>
      <c r="E72" s="150">
        <v>-21.5365885814</v>
      </c>
      <c r="F72" s="73">
        <v>-17.598285765600004</v>
      </c>
      <c r="G72" s="73">
        <v>-18.8204771628</v>
      </c>
      <c r="H72" s="73">
        <v>-21.269153191500003</v>
      </c>
    </row>
    <row r="73" spans="1:8" ht="15" customHeight="1">
      <c r="A73" s="54" t="str">
        <f>HLOOKUP(INDICE!$F$2,Nombres!$C$3:$E$853,58)</f>
        <v>Net attributable profit</v>
      </c>
      <c r="B73" s="147">
        <v>44.675486916899999</v>
      </c>
      <c r="C73" s="83">
        <v>55.621362622000007</v>
      </c>
      <c r="D73" s="83">
        <v>60.458034915300004</v>
      </c>
      <c r="E73" s="148">
        <v>72.866274418700002</v>
      </c>
      <c r="F73" s="54">
        <v>58.9923265149</v>
      </c>
      <c r="G73" s="54">
        <v>62.804946793900001</v>
      </c>
      <c r="H73" s="54">
        <v>74.850698621299998</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1202.1294762703999</v>
      </c>
      <c r="C78" s="84">
        <v>1274.3347739238</v>
      </c>
      <c r="D78" s="84">
        <v>1341.3043043677001</v>
      </c>
      <c r="E78" s="150">
        <v>1246.3938661524001</v>
      </c>
      <c r="F78" s="158">
        <v>1237.4179459930999</v>
      </c>
      <c r="G78" s="84">
        <v>1219.8680056804001</v>
      </c>
      <c r="H78" s="84">
        <v>1354.3009999999999</v>
      </c>
    </row>
    <row r="79" spans="1:8">
      <c r="A79" s="49" t="str">
        <f>HLOOKUP(INDICE!$F$2,Nombres!$C$3:$E$853,101)</f>
        <v>Financial assets</v>
      </c>
      <c r="B79" s="149">
        <v>572.52118987020003</v>
      </c>
      <c r="C79" s="84">
        <v>750.75346275929996</v>
      </c>
      <c r="D79" s="84">
        <v>687.80087317300001</v>
      </c>
      <c r="E79" s="150">
        <v>1006.653781811</v>
      </c>
      <c r="F79" s="158">
        <v>1191.6091009664999</v>
      </c>
      <c r="G79" s="84">
        <v>1335.2474500198</v>
      </c>
      <c r="H79" s="84">
        <v>1313.8420000000001</v>
      </c>
    </row>
    <row r="80" spans="1:8">
      <c r="A80" s="49" t="str">
        <f>HLOOKUP(INDICE!$F$2,Nombres!$C$3:$E$853,102)</f>
        <v>Loans and receivables</v>
      </c>
      <c r="B80" s="149">
        <v>3747.4099025208998</v>
      </c>
      <c r="C80" s="84">
        <v>3868.3058591562999</v>
      </c>
      <c r="D80" s="84">
        <v>4184.3313205059003</v>
      </c>
      <c r="E80" s="150">
        <v>4277.5619109654999</v>
      </c>
      <c r="F80" s="158">
        <v>4609.4732147185996</v>
      </c>
      <c r="G80" s="84">
        <v>5024.1843096465</v>
      </c>
      <c r="H80" s="84">
        <v>5271.46</v>
      </c>
    </row>
    <row r="81" spans="1:8">
      <c r="A81" s="49" t="str">
        <f>HLOOKUP(INDICE!$F$2,Nombres!$C$3:$E$853,103)</f>
        <v xml:space="preserve">  . Loans and advances to customers</v>
      </c>
      <c r="B81" s="149">
        <v>3286.4028734602998</v>
      </c>
      <c r="C81" s="84">
        <v>3442.0544061374999</v>
      </c>
      <c r="D81" s="84">
        <v>3725.4963024089998</v>
      </c>
      <c r="E81" s="150">
        <v>3845.0496651681001</v>
      </c>
      <c r="F81" s="158">
        <v>4023.5399577543999</v>
      </c>
      <c r="G81" s="84">
        <v>4416.7441668546999</v>
      </c>
      <c r="H81" s="84">
        <v>4666.6639999999998</v>
      </c>
    </row>
    <row r="82" spans="1:8">
      <c r="A82" s="49" t="str">
        <f>HLOOKUP(INDICE!$F$2,Nombres!$C$3:$E$853,104)</f>
        <v xml:space="preserve">  . Loans and advances to credit institutions and other</v>
      </c>
      <c r="B82" s="149">
        <v>461.00702906049997</v>
      </c>
      <c r="C82" s="84">
        <v>426.25145301880002</v>
      </c>
      <c r="D82" s="84">
        <v>458.83501809680001</v>
      </c>
      <c r="E82" s="150">
        <v>432.51224579740006</v>
      </c>
      <c r="F82" s="158">
        <v>585.93325696429997</v>
      </c>
      <c r="G82" s="84">
        <v>607.44014279179999</v>
      </c>
      <c r="H82" s="84">
        <v>604.79600000000005</v>
      </c>
    </row>
    <row r="83" spans="1:8">
      <c r="A83" s="49" t="str">
        <f>HLOOKUP(INDICE!$F$2,Nombres!$C$3:$E$853,106)</f>
        <v>Tangible assets</v>
      </c>
      <c r="B83" s="149">
        <v>140.9848485608</v>
      </c>
      <c r="C83" s="84">
        <v>156.11655331200001</v>
      </c>
      <c r="D83" s="84">
        <v>175.27605684540001</v>
      </c>
      <c r="E83" s="150">
        <v>198.1294047824</v>
      </c>
      <c r="F83" s="158">
        <v>208.54445223889999</v>
      </c>
      <c r="G83" s="84">
        <v>222.99261251510001</v>
      </c>
      <c r="H83" s="84">
        <v>231.46700000000001</v>
      </c>
    </row>
    <row r="84" spans="1:8">
      <c r="A84" s="49" t="str">
        <f>HLOOKUP(INDICE!$F$2,Nombres!$C$3:$E$853,107)</f>
        <v>Other assets</v>
      </c>
      <c r="B84" s="149">
        <v>170.0160345239</v>
      </c>
      <c r="C84" s="84">
        <v>179.1042929939</v>
      </c>
      <c r="D84" s="84">
        <v>179.40099491160001</v>
      </c>
      <c r="E84" s="150">
        <v>181.40365659229843</v>
      </c>
      <c r="F84" s="158">
        <v>167.1708098757</v>
      </c>
      <c r="G84" s="84">
        <v>194.48061936409999</v>
      </c>
      <c r="H84" s="84">
        <v>205.613</v>
      </c>
    </row>
    <row r="85" spans="1:8">
      <c r="A85" s="54" t="str">
        <f>HLOOKUP(INDICE!$F$2,Nombres!$C$3:$E$853,108)</f>
        <v>Total assets / Liabilities and equity</v>
      </c>
      <c r="B85" s="147">
        <v>5833.0614517460999</v>
      </c>
      <c r="C85" s="83">
        <v>6228.6149421454011</v>
      </c>
      <c r="D85" s="83">
        <v>6568.1135498035992</v>
      </c>
      <c r="E85" s="148">
        <v>6910.1426203035999</v>
      </c>
      <c r="F85" s="147">
        <v>7414.2155237929001</v>
      </c>
      <c r="G85" s="83">
        <v>7996.7729972258985</v>
      </c>
      <c r="H85" s="83">
        <v>8376.6829999999991</v>
      </c>
    </row>
    <row r="86" spans="1:8">
      <c r="A86" s="49" t="str">
        <f>HLOOKUP(INDICE!$F$2,Nombres!$C$3:$E$853,109)</f>
        <v>Deposits from central banks and credit institutions</v>
      </c>
      <c r="B86" s="149">
        <v>30.328762670500002</v>
      </c>
      <c r="C86" s="84">
        <v>57.255583233400003</v>
      </c>
      <c r="D86" s="84">
        <v>62.253561257800001</v>
      </c>
      <c r="E86" s="150">
        <v>57.382159774100003</v>
      </c>
      <c r="F86" s="158">
        <v>59.451679496499999</v>
      </c>
      <c r="G86" s="84">
        <v>176.5124950055</v>
      </c>
      <c r="H86" s="84">
        <v>96.549000000000007</v>
      </c>
    </row>
    <row r="87" spans="1:8">
      <c r="A87" s="49" t="str">
        <f>HLOOKUP(INDICE!$F$2,Nombres!$C$3:$E$853,110)</f>
        <v>Deposits from customers</v>
      </c>
      <c r="B87" s="149">
        <v>4249.5176737891998</v>
      </c>
      <c r="C87" s="84">
        <v>4547.1244399572997</v>
      </c>
      <c r="D87" s="84">
        <v>4703.7515556904</v>
      </c>
      <c r="E87" s="150">
        <v>4868.2821560673001</v>
      </c>
      <c r="F87" s="158">
        <v>5242.1613493943996</v>
      </c>
      <c r="G87" s="84">
        <v>5679.4967382962996</v>
      </c>
      <c r="H87" s="84">
        <v>5973.1719999999996</v>
      </c>
    </row>
    <row r="88" spans="1:8">
      <c r="A88" s="49" t="str">
        <f>HLOOKUP(INDICE!$F$2,Nombres!$C$3:$E$853,111)</f>
        <v>Debt certificates</v>
      </c>
      <c r="B88" s="149">
        <v>99.443558132099994</v>
      </c>
      <c r="C88" s="84">
        <v>98.495567162</v>
      </c>
      <c r="D88" s="84">
        <v>138.538169493</v>
      </c>
      <c r="E88" s="150">
        <v>160.51549257089999</v>
      </c>
      <c r="F88" s="158">
        <v>161.6402956057</v>
      </c>
      <c r="G88" s="84">
        <v>152.1750800232</v>
      </c>
      <c r="H88" s="84">
        <v>147.13999999999999</v>
      </c>
    </row>
    <row r="89" spans="1:8">
      <c r="A89" s="49" t="str">
        <f>HLOOKUP(INDICE!$F$2,Nombres!$C$3:$E$853,112)</f>
        <v>Subordinated liabilities</v>
      </c>
      <c r="B89" s="241">
        <v>0</v>
      </c>
      <c r="C89" s="236">
        <v>0</v>
      </c>
      <c r="D89" s="236">
        <v>0</v>
      </c>
      <c r="E89" s="237">
        <v>0</v>
      </c>
      <c r="F89" s="235">
        <v>0</v>
      </c>
      <c r="G89" s="236">
        <v>0</v>
      </c>
      <c r="H89" s="236">
        <v>0</v>
      </c>
    </row>
    <row r="90" spans="1:8">
      <c r="A90" s="49" t="str">
        <f>HLOOKUP(INDICE!$F$2,Nombres!$C$3:$E$853,114)</f>
        <v xml:space="preserve">Financial liabilities held for trading </v>
      </c>
      <c r="B90" s="149">
        <v>5.8317701536</v>
      </c>
      <c r="C90" s="84">
        <v>1.4373918766</v>
      </c>
      <c r="D90" s="84">
        <v>0.36536030829999999</v>
      </c>
      <c r="E90" s="150">
        <v>0.1230531819</v>
      </c>
      <c r="F90" s="158">
        <v>-0.78056689209999996</v>
      </c>
      <c r="G90" s="84">
        <v>5.4540242356000004</v>
      </c>
      <c r="H90" s="84">
        <v>3.7999999999999999E-2</v>
      </c>
    </row>
    <row r="91" spans="1:8">
      <c r="A91" s="49" t="str">
        <f>HLOOKUP(INDICE!$F$2,Nombres!$C$3:$E$853,115)</f>
        <v>Other liabilities</v>
      </c>
      <c r="B91" s="149">
        <v>1123.2178720246006</v>
      </c>
      <c r="C91" s="84">
        <v>1204.9899352325017</v>
      </c>
      <c r="D91" s="84">
        <v>1351.0629013050982</v>
      </c>
      <c r="E91" s="150">
        <v>1506.4480627979999</v>
      </c>
      <c r="F91" s="158">
        <v>1557.5432843900999</v>
      </c>
      <c r="G91" s="84">
        <v>1545.9525631009992</v>
      </c>
      <c r="H91" s="84">
        <v>1708.2504456799993</v>
      </c>
    </row>
    <row r="92" spans="1:8" ht="12" customHeight="1">
      <c r="A92" s="49" t="str">
        <f>HLOOKUP(INDICE!$F$2,Nombres!$C$3:$E$853,116)</f>
        <v>Economic capital allocated</v>
      </c>
      <c r="B92" s="149">
        <v>324.72181497619999</v>
      </c>
      <c r="C92" s="84">
        <v>319.3120246835</v>
      </c>
      <c r="D92" s="84">
        <v>312.14200174899997</v>
      </c>
      <c r="E92" s="150">
        <v>317.39169591140001</v>
      </c>
      <c r="F92" s="158">
        <v>394.19948179829998</v>
      </c>
      <c r="G92" s="84">
        <v>437.18209656430002</v>
      </c>
      <c r="H92" s="84">
        <v>451.53355432000001</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3398.6620944439001</v>
      </c>
      <c r="C97" s="157">
        <v>3563.4250383068998</v>
      </c>
      <c r="D97" s="157">
        <v>3855.3919848306</v>
      </c>
      <c r="E97" s="157">
        <v>3982.5433840474998</v>
      </c>
      <c r="F97" s="155">
        <v>4162.8019041553007</v>
      </c>
      <c r="G97" s="157">
        <v>4567.4779431758998</v>
      </c>
      <c r="H97" s="157">
        <v>4821.1180000000004</v>
      </c>
    </row>
    <row r="98" spans="1:8">
      <c r="A98" s="49" t="str">
        <f>HLOOKUP(INDICE!$F$2,Nombres!$C$3:$E$853,121)</f>
        <v>Customer deposits under management (**)</v>
      </c>
      <c r="B98" s="155">
        <v>4172.9780523949003</v>
      </c>
      <c r="C98" s="157">
        <v>4449.4044564709002</v>
      </c>
      <c r="D98" s="157">
        <v>4583.6393870625998</v>
      </c>
      <c r="E98" s="157">
        <v>4792.7759928285996</v>
      </c>
      <c r="F98" s="155">
        <v>5152.2992091550004</v>
      </c>
      <c r="G98" s="157">
        <v>5582.0020165251999</v>
      </c>
      <c r="H98" s="157">
        <v>5875.4590554799997</v>
      </c>
    </row>
    <row r="99" spans="1:8">
      <c r="A99" s="49" t="str">
        <f>HLOOKUP(INDICE!$F$2,Nombres!$C$3:$E$853,122)</f>
        <v>Mutual funds</v>
      </c>
      <c r="B99" s="155">
        <v>294.25588559750003</v>
      </c>
      <c r="C99" s="157">
        <v>334.17042196239998</v>
      </c>
      <c r="D99" s="157">
        <v>511.59216817399999</v>
      </c>
      <c r="E99" s="157">
        <v>637.15597501490004</v>
      </c>
      <c r="F99" s="155">
        <v>736.56300925300002</v>
      </c>
      <c r="G99" s="157">
        <v>907.53804994200004</v>
      </c>
      <c r="H99" s="157">
        <v>1045.9554392299999</v>
      </c>
    </row>
    <row r="100" spans="1:8">
      <c r="A100" s="49" t="str">
        <f>HLOOKUP(INDICE!$F$2,Nombres!$C$3:$E$853,206)</f>
        <v>Pension funds</v>
      </c>
      <c r="B100" s="238">
        <v>0</v>
      </c>
      <c r="C100" s="239">
        <v>0</v>
      </c>
      <c r="D100" s="239">
        <v>0</v>
      </c>
      <c r="E100" s="239">
        <v>0</v>
      </c>
      <c r="F100" s="238">
        <v>0</v>
      </c>
      <c r="G100" s="239">
        <v>0</v>
      </c>
      <c r="H100" s="239">
        <v>0</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H103"/>
  <sheetViews>
    <sheetView showGridLines="0" topLeftCell="A28"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HLOOKUP(INDICE!$F$2,Nombres!$C$3:$E$853,16)</f>
        <v>Chile</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124.06399994</v>
      </c>
      <c r="C6" s="83">
        <v>131.76700037000001</v>
      </c>
      <c r="D6" s="83">
        <v>114.75999903</v>
      </c>
      <c r="E6" s="148">
        <v>141.61800073000001</v>
      </c>
      <c r="F6" s="83">
        <v>119.18100007999999</v>
      </c>
      <c r="G6" s="83">
        <v>141.74200045000001</v>
      </c>
      <c r="H6" s="83">
        <v>131.19999955</v>
      </c>
    </row>
    <row r="7" spans="1:8">
      <c r="A7" s="49" t="str">
        <f>HLOOKUP(INDICE!$F$2,Nombres!$C$3:$E$853,39)</f>
        <v>Net fees and commissions</v>
      </c>
      <c r="B7" s="149">
        <v>15.048373219999998</v>
      </c>
      <c r="C7" s="84">
        <v>18.369730490000002</v>
      </c>
      <c r="D7" s="84">
        <v>20.617183579999999</v>
      </c>
      <c r="E7" s="150">
        <v>22.029630579999999</v>
      </c>
      <c r="F7" s="84">
        <v>22.198777</v>
      </c>
      <c r="G7" s="84">
        <v>20.584996240000002</v>
      </c>
      <c r="H7" s="84">
        <v>20.547814630000001</v>
      </c>
    </row>
    <row r="8" spans="1:8">
      <c r="A8" s="49" t="str">
        <f>HLOOKUP(INDICE!$F$2,Nombres!$C$3:$E$853,40)</f>
        <v>Net trading income</v>
      </c>
      <c r="B8" s="149">
        <v>15.96943126</v>
      </c>
      <c r="C8" s="84">
        <v>8.2456565899999994</v>
      </c>
      <c r="D8" s="84">
        <v>28.252607730000001</v>
      </c>
      <c r="E8" s="150">
        <v>-7.2932761599999996</v>
      </c>
      <c r="F8" s="84">
        <v>27.860549370000001</v>
      </c>
      <c r="G8" s="84">
        <v>19.47585364</v>
      </c>
      <c r="H8" s="84">
        <v>16.22007679</v>
      </c>
    </row>
    <row r="9" spans="1:8">
      <c r="A9" s="49" t="str">
        <f>HLOOKUP(INDICE!$F$2,Nombres!$C$3:$E$853,95)</f>
        <v>Other income/expenses</v>
      </c>
      <c r="B9" s="149">
        <v>3.0110004200000002</v>
      </c>
      <c r="C9" s="84">
        <v>4.1159995200000008</v>
      </c>
      <c r="D9" s="84">
        <v>0.2560001300000001</v>
      </c>
      <c r="E9" s="150">
        <v>-1.4399999800000001</v>
      </c>
      <c r="F9" s="84">
        <v>2.6950007899999999</v>
      </c>
      <c r="G9" s="84">
        <v>4.0039974599999999</v>
      </c>
      <c r="H9" s="84">
        <v>8.6990012799999992</v>
      </c>
    </row>
    <row r="10" spans="1:8">
      <c r="A10" s="54" t="str">
        <f>HLOOKUP(INDICE!$F$2,Nombres!$C$3:$E$853,44)</f>
        <v>Gross income</v>
      </c>
      <c r="B10" s="147">
        <v>158.09280483999999</v>
      </c>
      <c r="C10" s="83">
        <v>162.49838697000001</v>
      </c>
      <c r="D10" s="83">
        <v>163.88579046999999</v>
      </c>
      <c r="E10" s="148">
        <v>154.91435516999999</v>
      </c>
      <c r="F10" s="83">
        <v>171.93532723999999</v>
      </c>
      <c r="G10" s="83">
        <v>185.80684779000001</v>
      </c>
      <c r="H10" s="83">
        <v>176.66689224999999</v>
      </c>
    </row>
    <row r="11" spans="1:8">
      <c r="A11" s="49" t="str">
        <f>HLOOKUP(INDICE!$F$2,Nombres!$C$3:$E$853,45)</f>
        <v>Operating expenses</v>
      </c>
      <c r="B11" s="149">
        <v>-73.118642940000001</v>
      </c>
      <c r="C11" s="84">
        <v>-74.640445270000001</v>
      </c>
      <c r="D11" s="84">
        <v>-75.601038549999998</v>
      </c>
      <c r="E11" s="150">
        <v>-78.942075349999996</v>
      </c>
      <c r="F11" s="84">
        <v>-83.320375939999991</v>
      </c>
      <c r="G11" s="84">
        <v>-88.520386059999993</v>
      </c>
      <c r="H11" s="84">
        <v>-81.706377790000005</v>
      </c>
    </row>
    <row r="12" spans="1:8">
      <c r="A12" s="49" t="str">
        <f>HLOOKUP(INDICE!$F$2,Nombres!$C$3:$E$853,46)</f>
        <v xml:space="preserve">  Administration expenses</v>
      </c>
      <c r="B12" s="149">
        <v>-69.960642849999999</v>
      </c>
      <c r="C12" s="84">
        <v>-72.690444569999997</v>
      </c>
      <c r="D12" s="84">
        <v>-72.746038869999992</v>
      </c>
      <c r="E12" s="150">
        <v>-76.650075820000012</v>
      </c>
      <c r="F12" s="84">
        <v>-80.755375659999999</v>
      </c>
      <c r="G12" s="84">
        <v>-85.87738576000001</v>
      </c>
      <c r="H12" s="84">
        <v>-81.112378339999992</v>
      </c>
    </row>
    <row r="13" spans="1:8">
      <c r="A13" s="88" t="str">
        <f>HLOOKUP(INDICE!$F$2,Nombres!$C$3:$E$853,47)</f>
        <v xml:space="preserve">  Personnel expenses</v>
      </c>
      <c r="B13" s="149">
        <v>-40.055999749999998</v>
      </c>
      <c r="C13" s="84">
        <v>-39.651000410000002</v>
      </c>
      <c r="D13" s="84">
        <v>-40.551001159999998</v>
      </c>
      <c r="E13" s="150">
        <v>-42.286001460000001</v>
      </c>
      <c r="F13" s="84">
        <v>-43.754998919999998</v>
      </c>
      <c r="G13" s="84">
        <v>-45.258001229999998</v>
      </c>
      <c r="H13" s="84">
        <v>-42.813001040000003</v>
      </c>
    </row>
    <row r="14" spans="1:8">
      <c r="A14" s="88" t="str">
        <f>HLOOKUP(INDICE!$F$2,Nombres!$C$3:$E$853,48)</f>
        <v xml:space="preserve">  General and administrative expenses</v>
      </c>
      <c r="B14" s="149">
        <v>-29.904643100000001</v>
      </c>
      <c r="C14" s="84">
        <v>-33.039444160000002</v>
      </c>
      <c r="D14" s="84">
        <v>-32.195037710000001</v>
      </c>
      <c r="E14" s="150">
        <v>-34.364074360000004</v>
      </c>
      <c r="F14" s="84">
        <v>-37.000376739999993</v>
      </c>
      <c r="G14" s="84">
        <v>-40.619384529999998</v>
      </c>
      <c r="H14" s="84">
        <v>-38.299377300000003</v>
      </c>
    </row>
    <row r="15" spans="1:8" ht="13.5" customHeight="1">
      <c r="A15" s="49" t="str">
        <f>HLOOKUP(INDICE!$F$2,Nombres!$C$3:$E$853,49)</f>
        <v xml:space="preserve">  Depreciation and amortization</v>
      </c>
      <c r="B15" s="149">
        <v>-3.1580000899999998</v>
      </c>
      <c r="C15" s="84">
        <v>-1.9500006999999999</v>
      </c>
      <c r="D15" s="84">
        <v>-2.8549996800000002</v>
      </c>
      <c r="E15" s="150">
        <v>-2.29199953</v>
      </c>
      <c r="F15" s="84">
        <v>-2.5650002800000005</v>
      </c>
      <c r="G15" s="84">
        <v>-2.6430003000000002</v>
      </c>
      <c r="H15" s="84">
        <v>-0.5939994500000001</v>
      </c>
    </row>
    <row r="16" spans="1:8" ht="12.75" customHeight="1">
      <c r="A16" s="54" t="str">
        <f>HLOOKUP(INDICE!$F$2,Nombres!$C$3:$E$853,50)</f>
        <v>Operating income</v>
      </c>
      <c r="B16" s="147">
        <v>84.974161899999999</v>
      </c>
      <c r="C16" s="83">
        <v>87.857941699999998</v>
      </c>
      <c r="D16" s="83">
        <v>88.284751920000005</v>
      </c>
      <c r="E16" s="148">
        <v>75.972279819999997</v>
      </c>
      <c r="F16" s="83">
        <v>88.614951300000001</v>
      </c>
      <c r="G16" s="83">
        <v>97.286461729999999</v>
      </c>
      <c r="H16" s="83">
        <v>94.960514459999999</v>
      </c>
    </row>
    <row r="17" spans="1:8" ht="13.5" customHeight="1">
      <c r="A17" s="49" t="str">
        <f>HLOOKUP(INDICE!$F$2,Nombres!$C$3:$E$853,51)</f>
        <v>Impairment on financial assets (net)</v>
      </c>
      <c r="B17" s="149">
        <v>-28.834000799999998</v>
      </c>
      <c r="C17" s="84">
        <v>-26.24699931</v>
      </c>
      <c r="D17" s="84">
        <v>-30.555999149999998</v>
      </c>
      <c r="E17" s="150">
        <v>-19.391000290000001</v>
      </c>
      <c r="F17" s="84">
        <v>-36.766000480000002</v>
      </c>
      <c r="G17" s="84">
        <v>-34.967999450000001</v>
      </c>
      <c r="H17" s="84">
        <v>-29.93400016</v>
      </c>
    </row>
    <row r="18" spans="1:8" ht="13.5" customHeight="1">
      <c r="A18" s="49" t="str">
        <f>HLOOKUP(INDICE!$F$2,Nombres!$C$3:$E$853,160)</f>
        <v>Provisions (net) and other gains/losses</v>
      </c>
      <c r="B18" s="149">
        <v>0.52500020000000003</v>
      </c>
      <c r="C18" s="84">
        <v>0.43300033000000004</v>
      </c>
      <c r="D18" s="84">
        <v>-2.2700015100000002</v>
      </c>
      <c r="E18" s="150">
        <v>-54.512998780000004</v>
      </c>
      <c r="F18" s="84">
        <v>-1.0939992000000001</v>
      </c>
      <c r="G18" s="84">
        <v>4.8369990899999999</v>
      </c>
      <c r="H18" s="84">
        <v>-6.6420000199999993</v>
      </c>
    </row>
    <row r="19" spans="1:8" ht="12.75" customHeight="1">
      <c r="A19" s="54" t="str">
        <f>HLOOKUP(INDICE!$F$2,Nombres!$C$3:$E$853,54)</f>
        <v>Income before tax</v>
      </c>
      <c r="B19" s="147">
        <v>56.665161300000001</v>
      </c>
      <c r="C19" s="83">
        <v>62.043942720000004</v>
      </c>
      <c r="D19" s="83">
        <v>55.45875126</v>
      </c>
      <c r="E19" s="148">
        <v>2.0682807499999996</v>
      </c>
      <c r="F19" s="83">
        <v>50.75495162</v>
      </c>
      <c r="G19" s="83">
        <v>67.155461369999998</v>
      </c>
      <c r="H19" s="83">
        <v>58.384514279999998</v>
      </c>
    </row>
    <row r="20" spans="1:8" ht="13.5" customHeight="1">
      <c r="A20" s="49" t="str">
        <f>HLOOKUP(INDICE!$F$2,Nombres!$C$3:$E$853,55)</f>
        <v>Income tax</v>
      </c>
      <c r="B20" s="149">
        <v>-6.8326319199999999</v>
      </c>
      <c r="C20" s="84">
        <v>-4.3109167299999998</v>
      </c>
      <c r="D20" s="84">
        <v>15.411582459999998</v>
      </c>
      <c r="E20" s="150">
        <v>9.9686229200000014</v>
      </c>
      <c r="F20" s="84">
        <v>-9.0717364099999998</v>
      </c>
      <c r="G20" s="84">
        <v>-9.1506675000000008</v>
      </c>
      <c r="H20" s="84">
        <v>-12.284265769999999</v>
      </c>
    </row>
    <row r="21" spans="1:8" ht="13.5" customHeight="1">
      <c r="A21" s="54" t="str">
        <f>HLOOKUP(INDICE!$F$2,Nombres!$C$3:$E$853,56)</f>
        <v>Net income</v>
      </c>
      <c r="B21" s="147">
        <v>49.832529379999997</v>
      </c>
      <c r="C21" s="83">
        <v>57.733025990000002</v>
      </c>
      <c r="D21" s="83">
        <v>70.870333720000005</v>
      </c>
      <c r="E21" s="148">
        <v>12.036903670000001</v>
      </c>
      <c r="F21" s="83">
        <v>41.68321521</v>
      </c>
      <c r="G21" s="83">
        <v>58.00479387</v>
      </c>
      <c r="H21" s="83">
        <v>46.10024851</v>
      </c>
    </row>
    <row r="22" spans="1:8" ht="12" customHeight="1">
      <c r="A22" s="49" t="str">
        <f>HLOOKUP(INDICE!$F$2,Nombres!$C$3:$E$853,57)</f>
        <v>Non-controlling interests</v>
      </c>
      <c r="B22" s="149">
        <v>-14.26998279</v>
      </c>
      <c r="C22" s="84">
        <v>-15.65666933</v>
      </c>
      <c r="D22" s="84">
        <v>-21.527240880000001</v>
      </c>
      <c r="E22" s="150">
        <v>-3.0933085700000014</v>
      </c>
      <c r="F22" s="84">
        <v>-11.47694589</v>
      </c>
      <c r="G22" s="84">
        <v>-13.95385143</v>
      </c>
      <c r="H22" s="84">
        <v>-9.2718472500000004</v>
      </c>
    </row>
    <row r="23" spans="1:8" ht="14.25" customHeight="1">
      <c r="A23" s="54" t="str">
        <f>HLOOKUP(INDICE!$F$2,Nombres!$C$3:$E$853,58)</f>
        <v>Net attributable profit</v>
      </c>
      <c r="B23" s="147">
        <v>35.562546589999997</v>
      </c>
      <c r="C23" s="83">
        <v>42.076356660000002</v>
      </c>
      <c r="D23" s="83">
        <v>49.343092839999997</v>
      </c>
      <c r="E23" s="148">
        <v>8.9435950999999978</v>
      </c>
      <c r="F23" s="83">
        <v>30.206269319999997</v>
      </c>
      <c r="G23" s="83">
        <v>44.05094244</v>
      </c>
      <c r="H23" s="83">
        <v>36.82840126</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381.95699999999999</v>
      </c>
      <c r="C27" s="84">
        <v>362.41</v>
      </c>
      <c r="D27" s="84">
        <v>370.53100000000001</v>
      </c>
      <c r="E27" s="150">
        <v>589.33100000000002</v>
      </c>
      <c r="F27" s="84">
        <v>396.94499999999999</v>
      </c>
      <c r="G27" s="84">
        <v>592.29499999999996</v>
      </c>
      <c r="H27" s="84">
        <v>348.572</v>
      </c>
    </row>
    <row r="28" spans="1:8">
      <c r="A28" s="49" t="str">
        <f>HLOOKUP(INDICE!$F$2,Nombres!$C$3:$E$853,101)</f>
        <v>Financial assets</v>
      </c>
      <c r="B28" s="149">
        <v>1595.252</v>
      </c>
      <c r="C28" s="84">
        <v>1886.4079999999999</v>
      </c>
      <c r="D28" s="84">
        <v>2227.806</v>
      </c>
      <c r="E28" s="150">
        <v>2631.029</v>
      </c>
      <c r="F28" s="84">
        <v>2899.8429999999998</v>
      </c>
      <c r="G28" s="84">
        <v>2676.4870000000001</v>
      </c>
      <c r="H28" s="84">
        <v>2909.6680000000001</v>
      </c>
    </row>
    <row r="29" spans="1:8">
      <c r="A29" s="49" t="str">
        <f>HLOOKUP(INDICE!$F$2,Nombres!$C$3:$E$853,102)</f>
        <v>Loans and receivables</v>
      </c>
      <c r="B29" s="149">
        <v>12570.792265120001</v>
      </c>
      <c r="C29" s="84">
        <v>13104.458705200001</v>
      </c>
      <c r="D29" s="84">
        <v>13419.03340337</v>
      </c>
      <c r="E29" s="150">
        <v>13613.16347929</v>
      </c>
      <c r="F29" s="84">
        <v>15338.231326270001</v>
      </c>
      <c r="G29" s="84">
        <v>14360.630076089999</v>
      </c>
      <c r="H29" s="84">
        <v>13607.642659020001</v>
      </c>
    </row>
    <row r="30" spans="1:8">
      <c r="A30" s="49" t="str">
        <f>HLOOKUP(INDICE!$F$2,Nombres!$C$3:$E$853,103)</f>
        <v xml:space="preserve">  . Loans and advances to customers</v>
      </c>
      <c r="B30" s="149">
        <v>11042.596265120001</v>
      </c>
      <c r="C30" s="84">
        <v>11467.888705199999</v>
      </c>
      <c r="D30" s="84">
        <v>11548.54040337</v>
      </c>
      <c r="E30" s="150">
        <v>12125.55447929</v>
      </c>
      <c r="F30" s="84">
        <v>13396.61332627</v>
      </c>
      <c r="G30" s="84">
        <v>12658.02807609</v>
      </c>
      <c r="H30" s="84">
        <v>11927.767659020001</v>
      </c>
    </row>
    <row r="31" spans="1:8">
      <c r="A31" s="49" t="str">
        <f>HLOOKUP(INDICE!$F$2,Nombres!$C$3:$E$853,104)</f>
        <v xml:space="preserve">  . Loans and advances to credit institutions and other</v>
      </c>
      <c r="B31" s="154">
        <v>1528.1959999999999</v>
      </c>
      <c r="C31" s="84">
        <v>1636.57</v>
      </c>
      <c r="D31" s="84">
        <v>1870.4929999999999</v>
      </c>
      <c r="E31" s="150">
        <v>1487.6089999999999</v>
      </c>
      <c r="F31" s="84">
        <v>1941.6179999999999</v>
      </c>
      <c r="G31" s="84">
        <v>1702.6020000000001</v>
      </c>
      <c r="H31" s="84">
        <v>1679.875</v>
      </c>
    </row>
    <row r="32" spans="1:8">
      <c r="A32" s="49" t="str">
        <f>HLOOKUP(INDICE!$F$2,Nombres!$C$3:$E$853,106)</f>
        <v>Tangible assets</v>
      </c>
      <c r="B32" s="149">
        <v>82.302000000000007</v>
      </c>
      <c r="C32" s="84">
        <v>82.900999999999996</v>
      </c>
      <c r="D32" s="84">
        <v>84.471999999999994</v>
      </c>
      <c r="E32" s="150">
        <v>89.14</v>
      </c>
      <c r="F32" s="84">
        <v>121.586</v>
      </c>
      <c r="G32" s="84">
        <v>108.235</v>
      </c>
      <c r="H32" s="84">
        <v>104.80500000000001</v>
      </c>
    </row>
    <row r="33" spans="1:8">
      <c r="A33" s="49" t="str">
        <f>HLOOKUP(INDICE!$F$2,Nombres!$C$3:$E$853,107)</f>
        <v>Other assets</v>
      </c>
      <c r="B33" s="149">
        <v>434.35291279999984</v>
      </c>
      <c r="C33" s="84">
        <v>406.08675122000056</v>
      </c>
      <c r="D33" s="84">
        <v>709.10850396999786</v>
      </c>
      <c r="E33" s="150">
        <v>561.10650204000012</v>
      </c>
      <c r="F33" s="84">
        <v>748.30567498000119</v>
      </c>
      <c r="G33" s="84">
        <v>690.05154192000032</v>
      </c>
      <c r="H33" s="84">
        <v>657.94960935999882</v>
      </c>
    </row>
    <row r="34" spans="1:8">
      <c r="A34" s="54" t="str">
        <f>HLOOKUP(INDICE!$F$2,Nombres!$C$3:$E$853,108)</f>
        <v>Total assets / Liabilities and equity</v>
      </c>
      <c r="B34" s="147">
        <v>15064.65617792</v>
      </c>
      <c r="C34" s="83">
        <v>15842.26445642</v>
      </c>
      <c r="D34" s="83">
        <v>16810.95090734</v>
      </c>
      <c r="E34" s="148">
        <v>17483.769981330002</v>
      </c>
      <c r="F34" s="83">
        <v>19504.911001250002</v>
      </c>
      <c r="G34" s="83">
        <v>18427.698618010003</v>
      </c>
      <c r="H34" s="83">
        <v>17628.63726838</v>
      </c>
    </row>
    <row r="35" spans="1:8">
      <c r="A35" s="49" t="str">
        <f>HLOOKUP(INDICE!$F$2,Nombres!$C$3:$E$853,109)</f>
        <v>Deposits from central banks and credit institutions</v>
      </c>
      <c r="B35" s="149">
        <v>1947.4469999999999</v>
      </c>
      <c r="C35" s="84">
        <v>1967.221</v>
      </c>
      <c r="D35" s="84">
        <v>1965.9970000000001</v>
      </c>
      <c r="E35" s="150">
        <v>1946.385</v>
      </c>
      <c r="F35" s="84">
        <v>2209.6759999999999</v>
      </c>
      <c r="G35" s="84">
        <v>1865.6220000000001</v>
      </c>
      <c r="H35" s="84">
        <v>1735.2370000000001</v>
      </c>
    </row>
    <row r="36" spans="1:8">
      <c r="A36" s="49" t="str">
        <f>HLOOKUP(INDICE!$F$2,Nombres!$C$3:$E$853,110)</f>
        <v>Deposits from customers</v>
      </c>
      <c r="B36" s="149">
        <v>7453.3860000000004</v>
      </c>
      <c r="C36" s="84">
        <v>7645.6310000000003</v>
      </c>
      <c r="D36" s="84">
        <v>7325.4009999999998</v>
      </c>
      <c r="E36" s="150">
        <v>8240.0400000000009</v>
      </c>
      <c r="F36" s="84">
        <v>8787.6049999999996</v>
      </c>
      <c r="G36" s="84">
        <v>8401.7389999999996</v>
      </c>
      <c r="H36" s="84">
        <v>7682.2780000000002</v>
      </c>
    </row>
    <row r="37" spans="1:8">
      <c r="A37" s="49" t="str">
        <f>HLOOKUP(INDICE!$F$2,Nombres!$C$3:$E$853,111)</f>
        <v>Debt certificates</v>
      </c>
      <c r="B37" s="149">
        <v>1936.8409999999999</v>
      </c>
      <c r="C37" s="84">
        <v>2350.8739999999998</v>
      </c>
      <c r="D37" s="84">
        <v>2608.7159999999999</v>
      </c>
      <c r="E37" s="150">
        <v>2607.7640000000001</v>
      </c>
      <c r="F37" s="84">
        <v>3052.125</v>
      </c>
      <c r="G37" s="84">
        <v>2977.2440000000001</v>
      </c>
      <c r="H37" s="84">
        <v>2588.4969999999998</v>
      </c>
    </row>
    <row r="38" spans="1:8" ht="13.5" customHeight="1">
      <c r="A38" s="49" t="str">
        <f>HLOOKUP(INDICE!$F$2,Nombres!$C$3:$E$853,112)</f>
        <v>Subordinated liabilities</v>
      </c>
      <c r="B38" s="149">
        <v>560.36800000000005</v>
      </c>
      <c r="C38" s="84">
        <v>562.77599999999995</v>
      </c>
      <c r="D38" s="84">
        <v>567.24199999999996</v>
      </c>
      <c r="E38" s="150">
        <v>580.22299999999996</v>
      </c>
      <c r="F38" s="84">
        <v>639.28099999999995</v>
      </c>
      <c r="G38" s="84">
        <v>601.57299999999998</v>
      </c>
      <c r="H38" s="84">
        <v>553.88900000000001</v>
      </c>
    </row>
    <row r="39" spans="1:8">
      <c r="A39" s="49" t="str">
        <f>HLOOKUP(INDICE!$F$2,Nombres!$C$3:$E$853,114)</f>
        <v xml:space="preserve">Financial liabilities held for trading </v>
      </c>
      <c r="B39" s="149">
        <v>1134.4090000000001</v>
      </c>
      <c r="C39" s="84">
        <v>1170.7</v>
      </c>
      <c r="D39" s="84">
        <v>1712.415</v>
      </c>
      <c r="E39" s="150">
        <v>1761.4290000000001</v>
      </c>
      <c r="F39" s="84">
        <v>2128.2330000000002</v>
      </c>
      <c r="G39" s="84">
        <v>2041.289</v>
      </c>
      <c r="H39" s="84">
        <v>2588.837</v>
      </c>
    </row>
    <row r="40" spans="1:8">
      <c r="A40" s="49" t="str">
        <f>HLOOKUP(INDICE!$F$2,Nombres!$C$3:$E$853,115)</f>
        <v>Other liabilities</v>
      </c>
      <c r="B40" s="149">
        <v>1598.3264879199999</v>
      </c>
      <c r="C40" s="84">
        <v>1701.93806642</v>
      </c>
      <c r="D40" s="84">
        <v>2200.4800620399997</v>
      </c>
      <c r="E40" s="150">
        <v>1891.2134075099998</v>
      </c>
      <c r="F40" s="84">
        <v>2174.8175912500001</v>
      </c>
      <c r="G40" s="84">
        <v>2016.2892480099999</v>
      </c>
      <c r="H40" s="84">
        <v>2012.9315380800001</v>
      </c>
    </row>
    <row r="41" spans="1:8" ht="12.75" customHeight="1">
      <c r="A41" s="49" t="str">
        <f>HLOOKUP(INDICE!$F$2,Nombres!$C$3:$E$853,116)</f>
        <v>Economic capital allocated</v>
      </c>
      <c r="B41" s="149">
        <v>433.87869000000001</v>
      </c>
      <c r="C41" s="84">
        <v>443.12439000000001</v>
      </c>
      <c r="D41" s="84">
        <v>430.69984529999999</v>
      </c>
      <c r="E41" s="150">
        <v>456.71557381999997</v>
      </c>
      <c r="F41" s="84">
        <v>513.17340999999999</v>
      </c>
      <c r="G41" s="84">
        <v>523.94236999999998</v>
      </c>
      <c r="H41" s="84">
        <v>466.96773030000003</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11247.209593520001</v>
      </c>
      <c r="C45" s="157">
        <v>11678.623155200001</v>
      </c>
      <c r="D45" s="157">
        <v>11674.005263900001</v>
      </c>
      <c r="E45" s="157">
        <v>12320.76947929</v>
      </c>
      <c r="F45" s="155">
        <v>13570.446261260002</v>
      </c>
      <c r="G45" s="157">
        <v>12841.695116739998</v>
      </c>
      <c r="H45" s="157">
        <v>12054.786158520001</v>
      </c>
    </row>
    <row r="46" spans="1:8">
      <c r="A46" s="49" t="str">
        <f>HLOOKUP(INDICE!$F$2,Nombres!$C$3:$E$853,121)</f>
        <v>Customer deposits under management (**)</v>
      </c>
      <c r="B46" s="155">
        <v>7734.8942334000003</v>
      </c>
      <c r="C46" s="157">
        <v>7819.9671246600001</v>
      </c>
      <c r="D46" s="157">
        <v>7724.4803081999999</v>
      </c>
      <c r="E46" s="157">
        <v>8668.2063936400009</v>
      </c>
      <c r="F46" s="155">
        <v>9163.1472334800001</v>
      </c>
      <c r="G46" s="157">
        <v>8533.4707169499998</v>
      </c>
      <c r="H46" s="157">
        <v>8023.4290739999997</v>
      </c>
    </row>
    <row r="47" spans="1:8">
      <c r="A47" s="49" t="str">
        <f>HLOOKUP(INDICE!$F$2,Nombres!$C$3:$E$853,122)</f>
        <v>Mutual funds</v>
      </c>
      <c r="B47" s="155">
        <v>1146.170613</v>
      </c>
      <c r="C47" s="157">
        <v>1087.07284</v>
      </c>
      <c r="D47" s="157">
        <v>1275.2735849999999</v>
      </c>
      <c r="E47" s="157">
        <v>1281.660717</v>
      </c>
      <c r="F47" s="155">
        <v>1441.0292039999999</v>
      </c>
      <c r="G47" s="157">
        <v>1376.0938619999999</v>
      </c>
      <c r="H47" s="157">
        <v>1928.095198</v>
      </c>
    </row>
    <row r="48" spans="1:8">
      <c r="A48" s="49" t="str">
        <f>HLOOKUP(INDICE!$F$2,Nombres!$C$3:$E$853,206)</f>
        <v>Pension funds</v>
      </c>
      <c r="B48" s="238">
        <v>0</v>
      </c>
      <c r="C48" s="239">
        <v>0</v>
      </c>
      <c r="D48" s="239">
        <v>0</v>
      </c>
      <c r="E48" s="239">
        <v>0</v>
      </c>
      <c r="F48" s="238">
        <v>0</v>
      </c>
      <c r="G48" s="239">
        <v>0</v>
      </c>
      <c r="H48" s="239">
        <v>0</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131.46661020830001</v>
      </c>
      <c r="C56" s="83">
        <v>140.45073330299999</v>
      </c>
      <c r="D56" s="83">
        <v>123.1732127759</v>
      </c>
      <c r="E56" s="148">
        <v>148.50189991420001</v>
      </c>
      <c r="F56" s="54">
        <v>117.58856758949999</v>
      </c>
      <c r="G56" s="54">
        <v>136.10164013299999</v>
      </c>
      <c r="H56" s="54">
        <v>138.43279235749998</v>
      </c>
    </row>
    <row r="57" spans="1:8">
      <c r="A57" s="49" t="str">
        <f>HLOOKUP(INDICE!$F$2,Nombres!$C$3:$E$853,39)</f>
        <v>Net fees and commissions</v>
      </c>
      <c r="B57" s="149">
        <v>15.946274643200002</v>
      </c>
      <c r="C57" s="84">
        <v>19.573118921300001</v>
      </c>
      <c r="D57" s="84">
        <v>22.088135362500001</v>
      </c>
      <c r="E57" s="150">
        <v>23.117947450900001</v>
      </c>
      <c r="F57" s="73">
        <v>21.9021688686</v>
      </c>
      <c r="G57" s="73">
        <v>19.695636991400001</v>
      </c>
      <c r="H57" s="73">
        <v>21.733782010199999</v>
      </c>
    </row>
    <row r="58" spans="1:8">
      <c r="A58" s="49" t="str">
        <f>HLOOKUP(INDICE!$F$2,Nombres!$C$3:$E$853,40)</f>
        <v>Net trading income</v>
      </c>
      <c r="B58" s="149">
        <v>16.922290073799999</v>
      </c>
      <c r="C58" s="84">
        <v>8.8154131484999994</v>
      </c>
      <c r="D58" s="84">
        <v>30.1986014119</v>
      </c>
      <c r="E58" s="150">
        <v>-7.9940123149000017</v>
      </c>
      <c r="F58" s="73">
        <v>27.488291678000003</v>
      </c>
      <c r="G58" s="73">
        <v>18.535944928399999</v>
      </c>
      <c r="H58" s="73">
        <v>17.532243193600003</v>
      </c>
    </row>
    <row r="59" spans="1:8" ht="17.25" customHeight="1">
      <c r="A59" s="49" t="str">
        <f>HLOOKUP(INDICE!$F$2,Nombres!$C$3:$E$853,95)</f>
        <v>Other income/expenses</v>
      </c>
      <c r="B59" s="149">
        <v>3.1906598105999997</v>
      </c>
      <c r="C59" s="84">
        <v>4.3844772467999995</v>
      </c>
      <c r="D59" s="84">
        <v>0.29594888350000015</v>
      </c>
      <c r="E59" s="150">
        <v>-1.5639534702000002</v>
      </c>
      <c r="F59" s="73">
        <v>2.6589916372999998</v>
      </c>
      <c r="G59" s="73">
        <v>3.8543101954000001</v>
      </c>
      <c r="H59" s="73">
        <v>8.8846976973</v>
      </c>
    </row>
    <row r="60" spans="1:8" ht="15.75" customHeight="1">
      <c r="A60" s="54" t="str">
        <f>HLOOKUP(INDICE!$F$2,Nombres!$C$3:$E$853,44)</f>
        <v>Gross income</v>
      </c>
      <c r="B60" s="147">
        <v>167.52583473600001</v>
      </c>
      <c r="C60" s="83">
        <v>173.22374261959999</v>
      </c>
      <c r="D60" s="83">
        <v>175.75589843379998</v>
      </c>
      <c r="E60" s="148">
        <v>162.06188158</v>
      </c>
      <c r="F60" s="54">
        <v>169.6380197734</v>
      </c>
      <c r="G60" s="54">
        <v>178.1875322482</v>
      </c>
      <c r="H60" s="54">
        <v>186.58351525840001</v>
      </c>
    </row>
    <row r="61" spans="1:8">
      <c r="A61" s="49" t="str">
        <f>HLOOKUP(INDICE!$F$2,Nombres!$C$3:$E$853,45)</f>
        <v>Operating expenses</v>
      </c>
      <c r="B61" s="149">
        <v>-77.4814622695</v>
      </c>
      <c r="C61" s="84">
        <v>-79.568538305200008</v>
      </c>
      <c r="D61" s="84">
        <v>-81.076335173199993</v>
      </c>
      <c r="E61" s="150">
        <v>-82.698164676000005</v>
      </c>
      <c r="F61" s="73">
        <v>-82.207093842299997</v>
      </c>
      <c r="G61" s="73">
        <v>-84.870237471500005</v>
      </c>
      <c r="H61" s="73">
        <v>-86.469808476100013</v>
      </c>
    </row>
    <row r="62" spans="1:8">
      <c r="A62" s="49" t="str">
        <f>HLOOKUP(INDICE!$F$2,Nombres!$C$3:$E$853,46)</f>
        <v xml:space="preserve">  Administration expenses</v>
      </c>
      <c r="B62" s="149">
        <v>-74.135031660500005</v>
      </c>
      <c r="C62" s="84">
        <v>-77.485783225999995</v>
      </c>
      <c r="D62" s="84">
        <v>-78.016091028999995</v>
      </c>
      <c r="E62" s="150">
        <v>-80.304262435699997</v>
      </c>
      <c r="F62" s="73">
        <v>-79.676365717899998</v>
      </c>
      <c r="G62" s="73">
        <v>-82.337330936400008</v>
      </c>
      <c r="H62" s="73">
        <v>-85.731443105699995</v>
      </c>
    </row>
    <row r="63" spans="1:8">
      <c r="A63" s="189" t="str">
        <f>HLOOKUP(INDICE!$F$2,Nombres!$C$3:$E$853,47)</f>
        <v xml:space="preserve">  Personnel expenses</v>
      </c>
      <c r="B63" s="149">
        <v>-42.4460480734</v>
      </c>
      <c r="C63" s="84">
        <v>-42.272831642100002</v>
      </c>
      <c r="D63" s="84">
        <v>-43.489308621899994</v>
      </c>
      <c r="E63" s="150">
        <v>-44.295015823300005</v>
      </c>
      <c r="F63" s="73">
        <v>-43.1703681328</v>
      </c>
      <c r="G63" s="73">
        <v>-43.375189185700002</v>
      </c>
      <c r="H63" s="73">
        <v>-45.280443871599999</v>
      </c>
    </row>
    <row r="64" spans="1:8">
      <c r="A64" s="189" t="str">
        <f>HLOOKUP(INDICE!$F$2,Nombres!$C$3:$E$853,48)</f>
        <v xml:space="preserve">  General and administrative expenses</v>
      </c>
      <c r="B64" s="149">
        <v>-31.688983587100005</v>
      </c>
      <c r="C64" s="84">
        <v>-35.212951584000002</v>
      </c>
      <c r="D64" s="84">
        <v>-34.526782407100001</v>
      </c>
      <c r="E64" s="150">
        <v>-36.009246612399998</v>
      </c>
      <c r="F64" s="73">
        <v>-36.505997585199999</v>
      </c>
      <c r="G64" s="73">
        <v>-38.962141750699999</v>
      </c>
      <c r="H64" s="73">
        <v>-40.450999234000001</v>
      </c>
    </row>
    <row r="65" spans="1:8" ht="13.5" customHeight="1">
      <c r="A65" s="49" t="str">
        <f>HLOOKUP(INDICE!$F$2,Nombres!$C$3:$E$853,49)</f>
        <v xml:space="preserve">  Depreciation and amortization</v>
      </c>
      <c r="B65" s="149">
        <v>-3.3464306089999996</v>
      </c>
      <c r="C65" s="84">
        <v>-2.0827550793</v>
      </c>
      <c r="D65" s="84">
        <v>-3.0602441441999999</v>
      </c>
      <c r="E65" s="150">
        <v>-2.3939022402000001</v>
      </c>
      <c r="F65" s="73">
        <v>-2.5307281244000004</v>
      </c>
      <c r="G65" s="73">
        <v>-2.5329065353</v>
      </c>
      <c r="H65" s="73">
        <v>-0.73836537049999995</v>
      </c>
    </row>
    <row r="66" spans="1:8" ht="14.25" customHeight="1">
      <c r="A66" s="54" t="str">
        <f>HLOOKUP(INDICE!$F$2,Nombres!$C$3:$E$853,50)</f>
        <v>Operating income</v>
      </c>
      <c r="B66" s="147">
        <v>90.044372466500008</v>
      </c>
      <c r="C66" s="83">
        <v>93.655204314400009</v>
      </c>
      <c r="D66" s="83">
        <v>94.679563260599991</v>
      </c>
      <c r="E66" s="148">
        <v>79.363716904100002</v>
      </c>
      <c r="F66" s="54">
        <v>87.430925931000004</v>
      </c>
      <c r="G66" s="54">
        <v>93.317294776599994</v>
      </c>
      <c r="H66" s="54">
        <v>100.11370678239999</v>
      </c>
    </row>
    <row r="67" spans="1:8">
      <c r="A67" s="49" t="str">
        <f>HLOOKUP(INDICE!$F$2,Nombres!$C$3:$E$853,51)</f>
        <v>Impairment on financial assets (net)</v>
      </c>
      <c r="B67" s="149">
        <v>-30.554458551699998</v>
      </c>
      <c r="C67" s="84">
        <v>-27.989968080400001</v>
      </c>
      <c r="D67" s="84">
        <v>-32.753985192900004</v>
      </c>
      <c r="E67" s="150">
        <v>-20.164737470399999</v>
      </c>
      <c r="F67" s="73">
        <v>-36.2747529349</v>
      </c>
      <c r="G67" s="73">
        <v>-33.4707785286</v>
      </c>
      <c r="H67" s="73">
        <v>-31.922468626499999</v>
      </c>
    </row>
    <row r="68" spans="1:8" ht="16.5" customHeight="1">
      <c r="A68" s="49" t="str">
        <f>HLOOKUP(INDICE!$F$2,Nombres!$C$3:$E$853,160)</f>
        <v>Provisions (net) and other gains/losses</v>
      </c>
      <c r="B68" s="149">
        <v>0.55632574060000006</v>
      </c>
      <c r="C68" s="84">
        <v>0.46191270149999997</v>
      </c>
      <c r="D68" s="84">
        <v>-2.4169750492000004</v>
      </c>
      <c r="E68" s="150">
        <v>-57.846705649500002</v>
      </c>
      <c r="F68" s="73">
        <v>-1.0793817703999999</v>
      </c>
      <c r="G68" s="73">
        <v>4.7186255997000011</v>
      </c>
      <c r="H68" s="73">
        <v>-6.5382439593000008</v>
      </c>
    </row>
    <row r="69" spans="1:8" ht="12.75" customHeight="1">
      <c r="A69" s="54" t="str">
        <f>HLOOKUP(INDICE!$F$2,Nombres!$C$3:$E$853,54)</f>
        <v>Income before tax</v>
      </c>
      <c r="B69" s="147">
        <v>60.046239655500003</v>
      </c>
      <c r="C69" s="83">
        <v>66.127148935400001</v>
      </c>
      <c r="D69" s="83">
        <v>59.508603018399995</v>
      </c>
      <c r="E69" s="148">
        <v>1.3522737840999923</v>
      </c>
      <c r="F69" s="54">
        <v>50.076791225699999</v>
      </c>
      <c r="G69" s="54">
        <v>64.565141847700005</v>
      </c>
      <c r="H69" s="54">
        <v>61.652994196599998</v>
      </c>
    </row>
    <row r="70" spans="1:8" ht="13.5" customHeight="1">
      <c r="A70" s="49" t="str">
        <f>HLOOKUP(INDICE!$F$2,Nombres!$C$3:$E$853,55)</f>
        <v>Income tax</v>
      </c>
      <c r="B70" s="149">
        <v>-7.2403191720000004</v>
      </c>
      <c r="C70" s="84">
        <v>-4.6039223097999997</v>
      </c>
      <c r="D70" s="84">
        <v>16.394432542200001</v>
      </c>
      <c r="E70" s="150">
        <v>10.5587570427</v>
      </c>
      <c r="F70" s="73">
        <v>-8.9505247419999989</v>
      </c>
      <c r="G70" s="73">
        <v>-8.7667536263999999</v>
      </c>
      <c r="H70" s="73">
        <v>-12.789391311499999</v>
      </c>
    </row>
    <row r="71" spans="1:8" ht="12.75" customHeight="1">
      <c r="A71" s="54" t="str">
        <f>HLOOKUP(INDICE!$F$2,Nombres!$C$3:$E$853,56)</f>
        <v>Net income</v>
      </c>
      <c r="B71" s="147">
        <v>52.805920483499996</v>
      </c>
      <c r="C71" s="83">
        <v>61.523226625699991</v>
      </c>
      <c r="D71" s="83">
        <v>75.903035560500001</v>
      </c>
      <c r="E71" s="148">
        <v>11.911030826800001</v>
      </c>
      <c r="F71" s="54">
        <v>41.126266483599998</v>
      </c>
      <c r="G71" s="54">
        <v>55.798388221400003</v>
      </c>
      <c r="H71" s="54">
        <v>48.863602885100001</v>
      </c>
    </row>
    <row r="72" spans="1:8" ht="12.75" customHeight="1">
      <c r="A72" s="49" t="str">
        <f>HLOOKUP(INDICE!$F$2,Nombres!$C$3:$E$853,57)</f>
        <v>Non-controlling interests</v>
      </c>
      <c r="B72" s="149">
        <v>-15.1214394671</v>
      </c>
      <c r="C72" s="84">
        <v>-16.686964263500002</v>
      </c>
      <c r="D72" s="84">
        <v>-23.047076420699998</v>
      </c>
      <c r="E72" s="150">
        <v>-3.0338721958000008</v>
      </c>
      <c r="F72" s="73">
        <v>-11.323597105299999</v>
      </c>
      <c r="G72" s="73">
        <v>-13.4022578081</v>
      </c>
      <c r="H72" s="73">
        <v>-9.9767896566999994</v>
      </c>
    </row>
    <row r="73" spans="1:8" ht="15" customHeight="1">
      <c r="A73" s="54" t="str">
        <f>HLOOKUP(INDICE!$F$2,Nombres!$C$3:$E$853,58)</f>
        <v>Net attributable profit</v>
      </c>
      <c r="B73" s="147">
        <v>37.684481016399999</v>
      </c>
      <c r="C73" s="83">
        <v>44.836262362100001</v>
      </c>
      <c r="D73" s="83">
        <v>52.855959139900001</v>
      </c>
      <c r="E73" s="148">
        <v>8.8771586310000039</v>
      </c>
      <c r="F73" s="54">
        <v>29.802669378400001</v>
      </c>
      <c r="G73" s="54">
        <v>42.3961304133</v>
      </c>
      <c r="H73" s="54">
        <v>38.886813228400001</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367.45597494309999</v>
      </c>
      <c r="C78" s="84">
        <v>345.2432105263</v>
      </c>
      <c r="D78" s="84">
        <v>355.3843883422</v>
      </c>
      <c r="E78" s="150">
        <v>550.24493515109998</v>
      </c>
      <c r="F78" s="158">
        <v>339.12967970329998</v>
      </c>
      <c r="G78" s="84">
        <v>532.98136718750004</v>
      </c>
      <c r="H78" s="84">
        <v>348.572</v>
      </c>
    </row>
    <row r="79" spans="1:8">
      <c r="A79" s="49" t="str">
        <f>HLOOKUP(INDICE!$F$2,Nombres!$C$3:$E$853,101)</f>
        <v>Financial assets</v>
      </c>
      <c r="B79" s="149">
        <v>1534.6881427487001</v>
      </c>
      <c r="C79" s="84">
        <v>1797.0518315789</v>
      </c>
      <c r="D79" s="84">
        <v>2136.7374731263999</v>
      </c>
      <c r="E79" s="150">
        <v>2456.5318666174999</v>
      </c>
      <c r="F79" s="158">
        <v>2477.4788138908002</v>
      </c>
      <c r="G79" s="84">
        <v>2408.4581171875002</v>
      </c>
      <c r="H79" s="84">
        <v>2909.6680000000001</v>
      </c>
    </row>
    <row r="80" spans="1:8">
      <c r="A80" s="49" t="str">
        <f>HLOOKUP(INDICE!$F$2,Nombres!$C$3:$E$853,102)</f>
        <v>Loans and receivables</v>
      </c>
      <c r="B80" s="149">
        <v>12093.5412299978</v>
      </c>
      <c r="C80" s="84">
        <v>12483.721187585301</v>
      </c>
      <c r="D80" s="84">
        <v>12870.4885102724</v>
      </c>
      <c r="E80" s="150">
        <v>12710.300757745301</v>
      </c>
      <c r="F80" s="158">
        <v>13104.2070737587</v>
      </c>
      <c r="G80" s="84">
        <v>12922.527206254301</v>
      </c>
      <c r="H80" s="84">
        <v>13607.642659020001</v>
      </c>
    </row>
    <row r="81" spans="1:8">
      <c r="A81" s="49" t="str">
        <f>HLOOKUP(INDICE!$F$2,Nombres!$C$3:$E$853,103)</f>
        <v xml:space="preserve">  . Loans and advances to customers</v>
      </c>
      <c r="B81" s="149">
        <v>10623.363301372099</v>
      </c>
      <c r="C81" s="84">
        <v>10924.672924427399</v>
      </c>
      <c r="D81" s="84">
        <v>11076.457752513101</v>
      </c>
      <c r="E81" s="150">
        <v>11321.354108519099</v>
      </c>
      <c r="F81" s="158">
        <v>11445.387110171299</v>
      </c>
      <c r="G81" s="84">
        <v>11390.427253129301</v>
      </c>
      <c r="H81" s="84">
        <v>11927.767659020001</v>
      </c>
    </row>
    <row r="82" spans="1:8">
      <c r="A82" s="49" t="str">
        <f>HLOOKUP(INDICE!$F$2,Nombres!$C$3:$E$853,104)</f>
        <v xml:space="preserve">  . Loans and advances to credit institutions and other</v>
      </c>
      <c r="B82" s="149">
        <v>1470.1779286256999</v>
      </c>
      <c r="C82" s="84">
        <v>1559.0482631579</v>
      </c>
      <c r="D82" s="84">
        <v>1794.0307577593001</v>
      </c>
      <c r="E82" s="150">
        <v>1388.9466492262</v>
      </c>
      <c r="F82" s="158">
        <v>1658.8199635873</v>
      </c>
      <c r="G82" s="84">
        <v>1532.099953125</v>
      </c>
      <c r="H82" s="84">
        <v>1679.875</v>
      </c>
    </row>
    <row r="83" spans="1:8">
      <c r="A83" s="49" t="str">
        <f>HLOOKUP(INDICE!$F$2,Nombres!$C$3:$E$853,106)</f>
        <v>Tangible assets</v>
      </c>
      <c r="B83" s="149">
        <v>79.177398633300001</v>
      </c>
      <c r="C83" s="84">
        <v>78.974110526299995</v>
      </c>
      <c r="D83" s="84">
        <v>81.018943224799997</v>
      </c>
      <c r="E83" s="150">
        <v>83.227988209299994</v>
      </c>
      <c r="F83" s="158">
        <v>103.8769130142</v>
      </c>
      <c r="G83" s="84">
        <v>97.396125710199996</v>
      </c>
      <c r="H83" s="84">
        <v>104.80500000000001</v>
      </c>
    </row>
    <row r="84" spans="1:8">
      <c r="A84" s="49" t="str">
        <f>HLOOKUP(INDICE!$F$2,Nombres!$C$3:$E$853,107)</f>
        <v>Other assets</v>
      </c>
      <c r="B84" s="149">
        <v>417.86267313380085</v>
      </c>
      <c r="C84" s="84">
        <v>386.85106300439685</v>
      </c>
      <c r="D84" s="84">
        <v>680.12147958349976</v>
      </c>
      <c r="E84" s="150">
        <v>523.8923641006993</v>
      </c>
      <c r="F84" s="158">
        <v>639.31442360060021</v>
      </c>
      <c r="G84" s="84">
        <v>620.94836904300075</v>
      </c>
      <c r="H84" s="84">
        <v>657.94960935999882</v>
      </c>
    </row>
    <row r="85" spans="1:8">
      <c r="A85" s="54" t="str">
        <f>HLOOKUP(INDICE!$F$2,Nombres!$C$3:$E$853,108)</f>
        <v>Total assets / Liabilities and equity</v>
      </c>
      <c r="B85" s="147">
        <v>14492.7254194568</v>
      </c>
      <c r="C85" s="83">
        <v>15091.841403221199</v>
      </c>
      <c r="D85" s="83">
        <v>16123.7507945494</v>
      </c>
      <c r="E85" s="148">
        <v>16324.197911824</v>
      </c>
      <c r="F85" s="147">
        <v>16664.0069039675</v>
      </c>
      <c r="G85" s="83">
        <v>16582.311185382499</v>
      </c>
      <c r="H85" s="83">
        <v>17628.63726838</v>
      </c>
    </row>
    <row r="86" spans="1:8">
      <c r="A86" s="49" t="str">
        <f>HLOOKUP(INDICE!$F$2,Nombres!$C$3:$E$853,109)</f>
        <v>Deposits from central banks and credit institutions</v>
      </c>
      <c r="B86" s="149">
        <v>1873.5120341685999</v>
      </c>
      <c r="C86" s="84">
        <v>1874.0368473684</v>
      </c>
      <c r="D86" s="84">
        <v>1885.6307335352001</v>
      </c>
      <c r="E86" s="150">
        <v>1817.2953537214</v>
      </c>
      <c r="F86" s="158">
        <v>1887.8351260958</v>
      </c>
      <c r="G86" s="84">
        <v>1678.794796875</v>
      </c>
      <c r="H86" s="84">
        <v>1735.2370000000001</v>
      </c>
    </row>
    <row r="87" spans="1:8">
      <c r="A87" s="49" t="str">
        <f>HLOOKUP(INDICE!$F$2,Nombres!$C$3:$E$853,110)</f>
        <v>Deposits from customers</v>
      </c>
      <c r="B87" s="149">
        <v>7170.4176628701998</v>
      </c>
      <c r="C87" s="84">
        <v>7283.4695315789004</v>
      </c>
      <c r="D87" s="84">
        <v>7025.9523595761002</v>
      </c>
      <c r="E87" s="150">
        <v>7693.5377155489996</v>
      </c>
      <c r="F87" s="158">
        <v>7507.6841099123003</v>
      </c>
      <c r="G87" s="84">
        <v>7560.3716711648003</v>
      </c>
      <c r="H87" s="84">
        <v>7682.2780000000002</v>
      </c>
    </row>
    <row r="88" spans="1:8">
      <c r="A88" s="49" t="str">
        <f>HLOOKUP(INDICE!$F$2,Nombres!$C$3:$E$853,111)</f>
        <v>Debt certificates</v>
      </c>
      <c r="B88" s="149">
        <v>1863.3086917236001</v>
      </c>
      <c r="C88" s="84">
        <v>2239.5168105263001</v>
      </c>
      <c r="D88" s="84">
        <v>2502.0765874337999</v>
      </c>
      <c r="E88" s="150">
        <v>2434.8098658805998</v>
      </c>
      <c r="F88" s="158">
        <v>2607.5808327713999</v>
      </c>
      <c r="G88" s="84">
        <v>2679.0966960227001</v>
      </c>
      <c r="H88" s="84">
        <v>2588.4969999999998</v>
      </c>
    </row>
    <row r="89" spans="1:8">
      <c r="A89" s="49" t="str">
        <f>HLOOKUP(INDICE!$F$2,Nombres!$C$3:$E$853,112)</f>
        <v>Subordinated liabilities</v>
      </c>
      <c r="B89" s="149">
        <v>539.09358845860004</v>
      </c>
      <c r="C89" s="84">
        <v>536.1181894737</v>
      </c>
      <c r="D89" s="84">
        <v>544.05421196060001</v>
      </c>
      <c r="E89" s="150">
        <v>541.74100294770005</v>
      </c>
      <c r="F89" s="158">
        <v>546.16926972349995</v>
      </c>
      <c r="G89" s="84">
        <v>541.33024928980001</v>
      </c>
      <c r="H89" s="84">
        <v>553.88900000000001</v>
      </c>
    </row>
    <row r="90" spans="1:8">
      <c r="A90" s="49" t="str">
        <f>HLOOKUP(INDICE!$F$2,Nombres!$C$3:$E$853,114)</f>
        <v xml:space="preserve">Financial liabilities held for trading </v>
      </c>
      <c r="B90" s="149">
        <v>1091.341080486</v>
      </c>
      <c r="C90" s="84">
        <v>1115.2457894736999</v>
      </c>
      <c r="D90" s="84">
        <v>1642.4146896290999</v>
      </c>
      <c r="E90" s="150">
        <v>1644.6061481208999</v>
      </c>
      <c r="F90" s="158">
        <v>1818.2543567094001</v>
      </c>
      <c r="G90" s="84">
        <v>1836.8701441761</v>
      </c>
      <c r="H90" s="84">
        <v>2588.837</v>
      </c>
    </row>
    <row r="91" spans="1:8">
      <c r="A91" s="49" t="str">
        <f>HLOOKUP(INDICE!$F$2,Nombres!$C$3:$E$853,115)</f>
        <v>Other liabilities</v>
      </c>
      <c r="B91" s="149">
        <v>1537.6459075129999</v>
      </c>
      <c r="C91" s="84">
        <v>1621.3199474843</v>
      </c>
      <c r="D91" s="84">
        <v>2110.5285682094</v>
      </c>
      <c r="E91" s="150">
        <v>1765.7828941158998</v>
      </c>
      <c r="F91" s="158">
        <v>1858.0538692606999</v>
      </c>
      <c r="G91" s="84">
        <v>1814.3739184860997</v>
      </c>
      <c r="H91" s="84">
        <v>2012.9315380800001</v>
      </c>
    </row>
    <row r="92" spans="1:8" ht="12" customHeight="1">
      <c r="A92" s="49" t="str">
        <f>HLOOKUP(INDICE!$F$2,Nombres!$C$3:$E$853,116)</f>
        <v>Economic capital allocated</v>
      </c>
      <c r="B92" s="149">
        <v>417.4064542369</v>
      </c>
      <c r="C92" s="84">
        <v>422.13428731580001</v>
      </c>
      <c r="D92" s="84">
        <v>413.09364420520001</v>
      </c>
      <c r="E92" s="150">
        <v>426.42493148850002</v>
      </c>
      <c r="F92" s="158">
        <v>438.4293394943</v>
      </c>
      <c r="G92" s="84">
        <v>471.47370936790003</v>
      </c>
      <c r="H92" s="84">
        <v>466.96773030000003</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10820.208469999901</v>
      </c>
      <c r="C97" s="157">
        <v>11125.425216269501</v>
      </c>
      <c r="D97" s="157">
        <v>11196.793845088001</v>
      </c>
      <c r="E97" s="157">
        <v>11503.621908813901</v>
      </c>
      <c r="F97" s="155">
        <v>11593.901155102099</v>
      </c>
      <c r="G97" s="157">
        <v>11555.701500646001</v>
      </c>
      <c r="H97" s="157">
        <v>12054.786158520001</v>
      </c>
    </row>
    <row r="98" spans="1:8">
      <c r="A98" s="49" t="str">
        <f>HLOOKUP(INDICE!$F$2,Nombres!$C$3:$E$853,121)</f>
        <v>Customer deposits under management (**)</v>
      </c>
      <c r="B98" s="155">
        <v>7441.2384158829</v>
      </c>
      <c r="C98" s="157">
        <v>7449.5476292814001</v>
      </c>
      <c r="D98" s="157">
        <v>7408.7180548746001</v>
      </c>
      <c r="E98" s="157">
        <v>8093.3069275916996</v>
      </c>
      <c r="F98" s="155">
        <v>7828.5283511930002</v>
      </c>
      <c r="G98" s="157">
        <v>7678.9115045281997</v>
      </c>
      <c r="H98" s="157">
        <v>8023.4290739999997</v>
      </c>
    </row>
    <row r="99" spans="1:8">
      <c r="A99" s="49" t="str">
        <f>HLOOKUP(INDICE!$F$2,Nombres!$C$3:$E$853,122)</f>
        <v>Mutual funds</v>
      </c>
      <c r="B99" s="155">
        <v>1102.6561630000001</v>
      </c>
      <c r="C99" s="157">
        <v>1035.5799159999999</v>
      </c>
      <c r="D99" s="157">
        <v>1223.142795</v>
      </c>
      <c r="E99" s="157">
        <v>1196.6574270000001</v>
      </c>
      <c r="F99" s="155">
        <v>1231.1422801537001</v>
      </c>
      <c r="G99" s="157">
        <v>1238.2890079219001</v>
      </c>
      <c r="H99" s="157">
        <v>1928.095198</v>
      </c>
    </row>
    <row r="100" spans="1:8">
      <c r="A100" s="49" t="str">
        <f>HLOOKUP(INDICE!$F$2,Nombres!$C$3:$E$853,206)</f>
        <v>Pension funds</v>
      </c>
      <c r="B100" s="238">
        <v>0</v>
      </c>
      <c r="C100" s="239">
        <v>0</v>
      </c>
      <c r="D100" s="239">
        <v>0</v>
      </c>
      <c r="E100" s="239">
        <v>0</v>
      </c>
      <c r="F100" s="238">
        <v>0</v>
      </c>
      <c r="G100" s="239">
        <v>0</v>
      </c>
      <c r="H100" s="239">
        <v>0</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HLOOKUP(INDICE!$F$2,Nombres!$C$3:$E$853,17)</f>
        <v>Colombia</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181.29299985</v>
      </c>
      <c r="C6" s="83">
        <v>197.30700003000001</v>
      </c>
      <c r="D6" s="83">
        <v>201.58499968000001</v>
      </c>
      <c r="E6" s="148">
        <v>202.14399989999998</v>
      </c>
      <c r="F6" s="83">
        <v>201.23500084</v>
      </c>
      <c r="G6" s="83">
        <v>201.65216625000002</v>
      </c>
      <c r="H6" s="83">
        <v>177.53135427000001</v>
      </c>
    </row>
    <row r="7" spans="1:8">
      <c r="A7" s="49" t="str">
        <f>HLOOKUP(INDICE!$F$2,Nombres!$C$3:$E$853,39)</f>
        <v>Net fees and commissions</v>
      </c>
      <c r="B7" s="149">
        <v>20.67100061</v>
      </c>
      <c r="C7" s="84">
        <v>22.02409432</v>
      </c>
      <c r="D7" s="84">
        <v>24.495681230000002</v>
      </c>
      <c r="E7" s="150">
        <v>22.375278520000002</v>
      </c>
      <c r="F7" s="84">
        <v>17.859322470000002</v>
      </c>
      <c r="G7" s="84">
        <v>21.50788816</v>
      </c>
      <c r="H7" s="84">
        <v>18.638619370000001</v>
      </c>
    </row>
    <row r="8" spans="1:8">
      <c r="A8" s="49" t="str">
        <f>HLOOKUP(INDICE!$F$2,Nombres!$C$3:$E$853,40)</f>
        <v>Net trading income</v>
      </c>
      <c r="B8" s="149">
        <v>15.204223420000002</v>
      </c>
      <c r="C8" s="84">
        <v>12.079624259999999</v>
      </c>
      <c r="D8" s="84">
        <v>16.26768337</v>
      </c>
      <c r="E8" s="150">
        <v>20.633664230000001</v>
      </c>
      <c r="F8" s="84">
        <v>17.722368629999998</v>
      </c>
      <c r="G8" s="84">
        <v>10.524855899999999</v>
      </c>
      <c r="H8" s="84">
        <v>4.8024838399999998</v>
      </c>
    </row>
    <row r="9" spans="1:8">
      <c r="A9" s="49" t="str">
        <f>HLOOKUP(INDICE!$F$2,Nombres!$C$3:$E$853,95)</f>
        <v>Other income/expenses</v>
      </c>
      <c r="B9" s="149">
        <v>5.3089997000000002</v>
      </c>
      <c r="C9" s="84">
        <v>3.7850001</v>
      </c>
      <c r="D9" s="84">
        <v>5.5409985900000009</v>
      </c>
      <c r="E9" s="150">
        <v>4.2029994100000003</v>
      </c>
      <c r="F9" s="84">
        <v>11.681000469999999</v>
      </c>
      <c r="G9" s="84">
        <v>5.0650002399999998</v>
      </c>
      <c r="H9" s="84">
        <v>2.2719976600000003</v>
      </c>
    </row>
    <row r="10" spans="1:8">
      <c r="A10" s="54" t="str">
        <f>HLOOKUP(INDICE!$F$2,Nombres!$C$3:$E$853,44)</f>
        <v>Gross income</v>
      </c>
      <c r="B10" s="147">
        <v>222.47722358000001</v>
      </c>
      <c r="C10" s="83">
        <v>235.19571870999999</v>
      </c>
      <c r="D10" s="83">
        <v>247.88936287000001</v>
      </c>
      <c r="E10" s="148">
        <v>249.35594205999999</v>
      </c>
      <c r="F10" s="83">
        <v>248.49769241000001</v>
      </c>
      <c r="G10" s="83">
        <v>238.74991054999998</v>
      </c>
      <c r="H10" s="83">
        <v>203.24445514000001</v>
      </c>
    </row>
    <row r="11" spans="1:8">
      <c r="A11" s="49" t="str">
        <f>HLOOKUP(INDICE!$F$2,Nombres!$C$3:$E$853,45)</f>
        <v>Operating expenses</v>
      </c>
      <c r="B11" s="149">
        <v>-91.844307459999996</v>
      </c>
      <c r="C11" s="84">
        <v>-95.747496259999991</v>
      </c>
      <c r="D11" s="84">
        <v>-102.06790033000001</v>
      </c>
      <c r="E11" s="150">
        <v>-105.40090380000001</v>
      </c>
      <c r="F11" s="84">
        <v>-97.210898999999984</v>
      </c>
      <c r="G11" s="84">
        <v>-94.47689668999999</v>
      </c>
      <c r="H11" s="84">
        <v>-80.139896589999992</v>
      </c>
    </row>
    <row r="12" spans="1:8">
      <c r="A12" s="49" t="str">
        <f>HLOOKUP(INDICE!$F$2,Nombres!$C$3:$E$853,46)</f>
        <v xml:space="preserve">  Administration expenses</v>
      </c>
      <c r="B12" s="149">
        <v>-84.92330604</v>
      </c>
      <c r="C12" s="84">
        <v>-88.378498039999997</v>
      </c>
      <c r="D12" s="84">
        <v>-94.526900119999993</v>
      </c>
      <c r="E12" s="150">
        <v>-103.79490383999999</v>
      </c>
      <c r="F12" s="84">
        <v>-91.129898520000012</v>
      </c>
      <c r="G12" s="84">
        <v>-90.549896939999996</v>
      </c>
      <c r="H12" s="84">
        <v>-75.482897440000002</v>
      </c>
    </row>
    <row r="13" spans="1:8">
      <c r="A13" s="88" t="str">
        <f>HLOOKUP(INDICE!$F$2,Nombres!$C$3:$E$853,47)</f>
        <v xml:space="preserve">  Personnel expenses</v>
      </c>
      <c r="B13" s="149">
        <v>-42.928001199999997</v>
      </c>
      <c r="C13" s="84">
        <v>-44.695997309999996</v>
      </c>
      <c r="D13" s="84">
        <v>-47.791000980000007</v>
      </c>
      <c r="E13" s="150">
        <v>-45.70400042</v>
      </c>
      <c r="F13" s="84">
        <v>-45.572002230000002</v>
      </c>
      <c r="G13" s="84">
        <v>-44.505998939999998</v>
      </c>
      <c r="H13" s="84">
        <v>-36.930998959999997</v>
      </c>
    </row>
    <row r="14" spans="1:8">
      <c r="A14" s="88" t="str">
        <f>HLOOKUP(INDICE!$F$2,Nombres!$C$3:$E$853,48)</f>
        <v xml:space="preserve">  General and administrative expenses</v>
      </c>
      <c r="B14" s="149">
        <v>-41.995304840000003</v>
      </c>
      <c r="C14" s="84">
        <v>-43.682500730000001</v>
      </c>
      <c r="D14" s="84">
        <v>-46.735899140000001</v>
      </c>
      <c r="E14" s="150">
        <v>-58.090903420000004</v>
      </c>
      <c r="F14" s="84">
        <v>-45.557896290000002</v>
      </c>
      <c r="G14" s="84">
        <v>-46.043897999999999</v>
      </c>
      <c r="H14" s="84">
        <v>-38.551898479999998</v>
      </c>
    </row>
    <row r="15" spans="1:8" ht="13.5" customHeight="1">
      <c r="A15" s="49" t="str">
        <f>HLOOKUP(INDICE!$F$2,Nombres!$C$3:$E$853,49)</f>
        <v xml:space="preserve">  Depreciation and amortization</v>
      </c>
      <c r="B15" s="149">
        <v>-6.9210014199999996</v>
      </c>
      <c r="C15" s="84">
        <v>-7.368998219999999</v>
      </c>
      <c r="D15" s="84">
        <v>-7.54100021</v>
      </c>
      <c r="E15" s="150">
        <v>-1.6059999600000001</v>
      </c>
      <c r="F15" s="84">
        <v>-6.0810004800000002</v>
      </c>
      <c r="G15" s="84">
        <v>-3.9269997500000002</v>
      </c>
      <c r="H15" s="84">
        <v>-4.6569991499999999</v>
      </c>
    </row>
    <row r="16" spans="1:8" ht="12.75" customHeight="1">
      <c r="A16" s="54" t="str">
        <f>HLOOKUP(INDICE!$F$2,Nombres!$C$3:$E$853,50)</f>
        <v>Operating income</v>
      </c>
      <c r="B16" s="147">
        <v>130.63291612</v>
      </c>
      <c r="C16" s="83">
        <v>139.44822245</v>
      </c>
      <c r="D16" s="83">
        <v>145.82146254</v>
      </c>
      <c r="E16" s="148">
        <v>143.95503826000001</v>
      </c>
      <c r="F16" s="83">
        <v>151.28679341</v>
      </c>
      <c r="G16" s="83">
        <v>144.27301385999999</v>
      </c>
      <c r="H16" s="83">
        <v>123.10455855000001</v>
      </c>
    </row>
    <row r="17" spans="1:8" ht="13.5" customHeight="1">
      <c r="A17" s="49" t="str">
        <f>HLOOKUP(INDICE!$F$2,Nombres!$C$3:$E$853,51)</f>
        <v>Impairment on financial assets (net)</v>
      </c>
      <c r="B17" s="149">
        <v>-35.922999529999998</v>
      </c>
      <c r="C17" s="84">
        <v>-39.57000034</v>
      </c>
      <c r="D17" s="84">
        <v>-44.443999149999996</v>
      </c>
      <c r="E17" s="150">
        <v>-37.29600164</v>
      </c>
      <c r="F17" s="84">
        <v>-37.739000250000004</v>
      </c>
      <c r="G17" s="84">
        <v>-47.492999789999999</v>
      </c>
      <c r="H17" s="84">
        <v>-43.187000830000002</v>
      </c>
    </row>
    <row r="18" spans="1:8" ht="13.5" customHeight="1">
      <c r="A18" s="49" t="str">
        <f>HLOOKUP(INDICE!$F$2,Nombres!$C$3:$E$853,160)</f>
        <v>Provisions (net) and other gains/losses</v>
      </c>
      <c r="B18" s="149">
        <v>3.9999910000000305E-2</v>
      </c>
      <c r="C18" s="84">
        <v>0.87600060000000024</v>
      </c>
      <c r="D18" s="84">
        <v>1.46699954</v>
      </c>
      <c r="E18" s="150">
        <v>-2.8909995100000003</v>
      </c>
      <c r="F18" s="84">
        <v>-3.2040003399999999</v>
      </c>
      <c r="G18" s="84">
        <v>12.352999749999999</v>
      </c>
      <c r="H18" s="84">
        <v>-1.9489996000000001</v>
      </c>
    </row>
    <row r="19" spans="1:8" ht="12.75" customHeight="1">
      <c r="A19" s="54" t="str">
        <f>HLOOKUP(INDICE!$F$2,Nombres!$C$3:$E$853,54)</f>
        <v>Income before tax</v>
      </c>
      <c r="B19" s="147">
        <v>94.749916500000012</v>
      </c>
      <c r="C19" s="83">
        <v>100.75422270999999</v>
      </c>
      <c r="D19" s="83">
        <v>102.84446293000001</v>
      </c>
      <c r="E19" s="148">
        <v>103.76803710999999</v>
      </c>
      <c r="F19" s="83">
        <v>110.34379282</v>
      </c>
      <c r="G19" s="83">
        <v>109.13301382</v>
      </c>
      <c r="H19" s="83">
        <v>77.968558120000012</v>
      </c>
    </row>
    <row r="20" spans="1:8" ht="13.5" customHeight="1">
      <c r="A20" s="49" t="str">
        <f>HLOOKUP(INDICE!$F$2,Nombres!$C$3:$E$853,55)</f>
        <v>Income tax</v>
      </c>
      <c r="B20" s="149">
        <v>-31.148443480000001</v>
      </c>
      <c r="C20" s="84">
        <v>-27.586656859999998</v>
      </c>
      <c r="D20" s="84">
        <v>-32.25873859</v>
      </c>
      <c r="E20" s="150">
        <v>-30.805990080000001</v>
      </c>
      <c r="F20" s="84">
        <v>-35.358676800000005</v>
      </c>
      <c r="G20" s="84">
        <v>-18.16604096</v>
      </c>
      <c r="H20" s="84">
        <v>-30.400694469999998</v>
      </c>
    </row>
    <row r="21" spans="1:8" ht="13.5" customHeight="1">
      <c r="A21" s="54" t="str">
        <f>HLOOKUP(INDICE!$F$2,Nombres!$C$3:$E$853,56)</f>
        <v>Net income</v>
      </c>
      <c r="B21" s="147">
        <v>63.60147302</v>
      </c>
      <c r="C21" s="83">
        <v>73.167565850000003</v>
      </c>
      <c r="D21" s="83">
        <v>70.585724339999999</v>
      </c>
      <c r="E21" s="148">
        <v>72.962047029999994</v>
      </c>
      <c r="F21" s="83">
        <v>74.985116019999992</v>
      </c>
      <c r="G21" s="83">
        <v>90.966972859999998</v>
      </c>
      <c r="H21" s="83">
        <v>47.56786365</v>
      </c>
    </row>
    <row r="22" spans="1:8" ht="12" customHeight="1">
      <c r="A22" s="49" t="str">
        <f>HLOOKUP(INDICE!$F$2,Nombres!$C$3:$E$853,57)</f>
        <v>Non-controlling interests</v>
      </c>
      <c r="B22" s="149">
        <v>-2.56094</v>
      </c>
      <c r="C22" s="84">
        <v>-2.9219819999999999</v>
      </c>
      <c r="D22" s="84">
        <v>-2.7739029999999998</v>
      </c>
      <c r="E22" s="150">
        <v>-2.8535161599999999</v>
      </c>
      <c r="F22" s="84">
        <v>-2.872074</v>
      </c>
      <c r="G22" s="84">
        <v>-3.64946606</v>
      </c>
      <c r="H22" s="84">
        <v>-1.8381331400000001</v>
      </c>
    </row>
    <row r="23" spans="1:8" ht="14.25" customHeight="1">
      <c r="A23" s="54" t="str">
        <f>HLOOKUP(INDICE!$F$2,Nombres!$C$3:$E$853,58)</f>
        <v>Net attributable profit</v>
      </c>
      <c r="B23" s="147">
        <v>61.040533019999998</v>
      </c>
      <c r="C23" s="83">
        <v>70.245583849999989</v>
      </c>
      <c r="D23" s="83">
        <v>67.811821339999995</v>
      </c>
      <c r="E23" s="148">
        <v>70.108530869999996</v>
      </c>
      <c r="F23" s="83">
        <v>72.113042019999995</v>
      </c>
      <c r="G23" s="83">
        <v>87.31750679999999</v>
      </c>
      <c r="H23" s="83">
        <v>45.729730509999996</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1246.519</v>
      </c>
      <c r="C27" s="84">
        <v>1108.905</v>
      </c>
      <c r="D27" s="84">
        <v>1019.654</v>
      </c>
      <c r="E27" s="150">
        <v>974.28399999999999</v>
      </c>
      <c r="F27" s="84">
        <v>1778.8340000000001</v>
      </c>
      <c r="G27" s="84">
        <v>1174.037</v>
      </c>
      <c r="H27" s="84">
        <v>1148.6610000000001</v>
      </c>
    </row>
    <row r="28" spans="1:8">
      <c r="A28" s="49" t="str">
        <f>HLOOKUP(INDICE!$F$2,Nombres!$C$3:$E$853,101)</f>
        <v>Financial assets</v>
      </c>
      <c r="B28" s="149">
        <v>2843.8620000000001</v>
      </c>
      <c r="C28" s="84">
        <v>2487.0430000000001</v>
      </c>
      <c r="D28" s="84">
        <v>2206.299</v>
      </c>
      <c r="E28" s="150">
        <v>2827.27</v>
      </c>
      <c r="F28" s="84">
        <v>2988.4540000000002</v>
      </c>
      <c r="G28" s="84">
        <v>2787.0129999999999</v>
      </c>
      <c r="H28" s="84">
        <v>2337.317</v>
      </c>
    </row>
    <row r="29" spans="1:8">
      <c r="A29" s="49" t="str">
        <f>HLOOKUP(INDICE!$F$2,Nombres!$C$3:$E$853,102)</f>
        <v>Loans and receivables</v>
      </c>
      <c r="B29" s="149">
        <v>10058.038</v>
      </c>
      <c r="C29" s="84">
        <v>11084.38</v>
      </c>
      <c r="D29" s="84">
        <v>11688.484</v>
      </c>
      <c r="E29" s="150">
        <v>10681.384</v>
      </c>
      <c r="F29" s="84">
        <v>11563.272000000001</v>
      </c>
      <c r="G29" s="84">
        <v>11705.355</v>
      </c>
      <c r="H29" s="84">
        <v>10084.153</v>
      </c>
    </row>
    <row r="30" spans="1:8">
      <c r="A30" s="49" t="str">
        <f>HLOOKUP(INDICE!$F$2,Nombres!$C$3:$E$853,103)</f>
        <v xml:space="preserve">  . Loans and advances to customers</v>
      </c>
      <c r="B30" s="149">
        <v>9724.8690000000006</v>
      </c>
      <c r="C30" s="84">
        <v>10933.111000000001</v>
      </c>
      <c r="D30" s="84">
        <v>11470.769</v>
      </c>
      <c r="E30" s="150">
        <v>10476.719999999999</v>
      </c>
      <c r="F30" s="84">
        <v>11057.996999999999</v>
      </c>
      <c r="G30" s="84">
        <v>11134.859</v>
      </c>
      <c r="H30" s="84">
        <v>9738.7369999999992</v>
      </c>
    </row>
    <row r="31" spans="1:8">
      <c r="A31" s="49" t="str">
        <f>HLOOKUP(INDICE!$F$2,Nombres!$C$3:$E$853,104)</f>
        <v xml:space="preserve">  . Loans and advances to credit institutions and other</v>
      </c>
      <c r="B31" s="154">
        <v>333.16899999999998</v>
      </c>
      <c r="C31" s="84">
        <v>151.26900000000001</v>
      </c>
      <c r="D31" s="84">
        <v>217.715</v>
      </c>
      <c r="E31" s="150">
        <v>204.66399999999999</v>
      </c>
      <c r="F31" s="84">
        <v>505.27499999999998</v>
      </c>
      <c r="G31" s="84">
        <v>570.49599999999998</v>
      </c>
      <c r="H31" s="84">
        <v>345.416</v>
      </c>
    </row>
    <row r="32" spans="1:8">
      <c r="A32" s="49" t="str">
        <f>HLOOKUP(INDICE!$F$2,Nombres!$C$3:$E$853,106)</f>
        <v>Tangible assets</v>
      </c>
      <c r="B32" s="149">
        <v>117.408</v>
      </c>
      <c r="C32" s="84">
        <v>119.252</v>
      </c>
      <c r="D32" s="84">
        <v>118.98</v>
      </c>
      <c r="E32" s="150">
        <v>121.417</v>
      </c>
      <c r="F32" s="84">
        <v>124.813</v>
      </c>
      <c r="G32" s="84">
        <v>117.215</v>
      </c>
      <c r="H32" s="84">
        <v>95.948999999999998</v>
      </c>
    </row>
    <row r="33" spans="1:8">
      <c r="A33" s="49" t="str">
        <f>HLOOKUP(INDICE!$F$2,Nombres!$C$3:$E$853,107)</f>
        <v>Other assets</v>
      </c>
      <c r="B33" s="149">
        <v>248.60578496999494</v>
      </c>
      <c r="C33" s="84">
        <v>300.89299303000001</v>
      </c>
      <c r="D33" s="84">
        <v>322.80548247000144</v>
      </c>
      <c r="E33" s="150">
        <v>222.95656885999841</v>
      </c>
      <c r="F33" s="84">
        <v>290.02872138999606</v>
      </c>
      <c r="G33" s="84">
        <v>307.98899999999998</v>
      </c>
      <c r="H33" s="84">
        <v>318.322</v>
      </c>
    </row>
    <row r="34" spans="1:8">
      <c r="A34" s="54" t="str">
        <f>HLOOKUP(INDICE!$F$2,Nombres!$C$3:$E$853,108)</f>
        <v>Total assets / Liabilities and equity</v>
      </c>
      <c r="B34" s="147">
        <v>14514.432784969997</v>
      </c>
      <c r="C34" s="83">
        <v>15100.47299303</v>
      </c>
      <c r="D34" s="83">
        <v>15356.222482470001</v>
      </c>
      <c r="E34" s="148">
        <v>14827.311568859999</v>
      </c>
      <c r="F34" s="83">
        <v>16745.401721389997</v>
      </c>
      <c r="G34" s="83">
        <v>16091.609</v>
      </c>
      <c r="H34" s="83">
        <v>13984.402000000002</v>
      </c>
    </row>
    <row r="35" spans="1:8">
      <c r="A35" s="49" t="str">
        <f>HLOOKUP(INDICE!$F$2,Nombres!$C$3:$E$853,109)</f>
        <v>Deposits from central banks and credit institutions</v>
      </c>
      <c r="B35" s="149">
        <v>382.89400000000001</v>
      </c>
      <c r="C35" s="84">
        <v>389.56299999999999</v>
      </c>
      <c r="D35" s="84">
        <v>308.25700000000001</v>
      </c>
      <c r="E35" s="150">
        <v>754.19100000000003</v>
      </c>
      <c r="F35" s="84">
        <v>1227.9839999999999</v>
      </c>
      <c r="G35" s="84">
        <v>671.88</v>
      </c>
      <c r="H35" s="84">
        <v>654.952</v>
      </c>
    </row>
    <row r="36" spans="1:8">
      <c r="A36" s="49" t="str">
        <f>HLOOKUP(INDICE!$F$2,Nombres!$C$3:$E$853,110)</f>
        <v>Deposits from customers</v>
      </c>
      <c r="B36" s="149">
        <v>11551.877</v>
      </c>
      <c r="C36" s="84">
        <v>11930.576999999999</v>
      </c>
      <c r="D36" s="84">
        <v>11764.355</v>
      </c>
      <c r="E36" s="150">
        <v>10779.151</v>
      </c>
      <c r="F36" s="84">
        <v>11536.393</v>
      </c>
      <c r="G36" s="84">
        <v>11202.465</v>
      </c>
      <c r="H36" s="84">
        <v>9508.125</v>
      </c>
    </row>
    <row r="37" spans="1:8">
      <c r="A37" s="49" t="str">
        <f>HLOOKUP(INDICE!$F$2,Nombres!$C$3:$E$853,111)</f>
        <v>Debt certificates</v>
      </c>
      <c r="B37" s="149">
        <v>245.018</v>
      </c>
      <c r="C37" s="84">
        <v>247.47</v>
      </c>
      <c r="D37" s="84">
        <v>251.55699999999999</v>
      </c>
      <c r="E37" s="150">
        <v>214.64500000000001</v>
      </c>
      <c r="F37" s="84">
        <v>211.82900000000001</v>
      </c>
      <c r="G37" s="84">
        <v>207.869</v>
      </c>
      <c r="H37" s="84">
        <v>177.471</v>
      </c>
    </row>
    <row r="38" spans="1:8" ht="13.5" customHeight="1">
      <c r="A38" s="49" t="str">
        <f>HLOOKUP(INDICE!$F$2,Nombres!$C$3:$E$853,112)</f>
        <v>Subordinated liabilities</v>
      </c>
      <c r="B38" s="149">
        <v>270.23200000000003</v>
      </c>
      <c r="C38" s="84">
        <v>285.029</v>
      </c>
      <c r="D38" s="84">
        <v>287.24599999999998</v>
      </c>
      <c r="E38" s="150">
        <v>338.899</v>
      </c>
      <c r="F38" s="84">
        <v>373.71800000000002</v>
      </c>
      <c r="G38" s="84">
        <v>712.57600000000002</v>
      </c>
      <c r="H38" s="84">
        <v>630.81700000000001</v>
      </c>
    </row>
    <row r="39" spans="1:8">
      <c r="A39" s="49" t="str">
        <f>HLOOKUP(INDICE!$F$2,Nombres!$C$3:$E$853,114)</f>
        <v xml:space="preserve">Financial liabilities held for trading </v>
      </c>
      <c r="B39" s="149">
        <v>99.846000000000004</v>
      </c>
      <c r="C39" s="84">
        <v>114.02800000000001</v>
      </c>
      <c r="D39" s="84">
        <v>535.08199999999999</v>
      </c>
      <c r="E39" s="150">
        <v>680.81399999999996</v>
      </c>
      <c r="F39" s="84">
        <v>1216.6079999999999</v>
      </c>
      <c r="G39" s="84">
        <v>1118.365</v>
      </c>
      <c r="H39" s="84">
        <v>1114.3030000000001</v>
      </c>
    </row>
    <row r="40" spans="1:8">
      <c r="A40" s="49" t="str">
        <f>HLOOKUP(INDICE!$F$2,Nombres!$C$3:$E$853,115)</f>
        <v>Other liabilities</v>
      </c>
      <c r="B40" s="149">
        <v>1112.7237849700002</v>
      </c>
      <c r="C40" s="84">
        <v>1228.8875830300001</v>
      </c>
      <c r="D40" s="84">
        <v>1303.8125239799999</v>
      </c>
      <c r="E40" s="150">
        <v>1170.5470039999998</v>
      </c>
      <c r="F40" s="84">
        <v>1267.1755913899999</v>
      </c>
      <c r="G40" s="84">
        <v>1328.648979999999</v>
      </c>
      <c r="H40" s="84">
        <v>1190.0110686900018</v>
      </c>
    </row>
    <row r="41" spans="1:8" ht="12.75" customHeight="1">
      <c r="A41" s="49" t="str">
        <f>HLOOKUP(INDICE!$F$2,Nombres!$C$3:$E$853,116)</f>
        <v>Economic capital allocated</v>
      </c>
      <c r="B41" s="149">
        <v>851.84199999999998</v>
      </c>
      <c r="C41" s="84">
        <v>904.91840999999999</v>
      </c>
      <c r="D41" s="84">
        <v>905.91295849000005</v>
      </c>
      <c r="E41" s="150">
        <v>889.06456486000002</v>
      </c>
      <c r="F41" s="84">
        <v>911.69412999999997</v>
      </c>
      <c r="G41" s="84">
        <v>849.80502000000001</v>
      </c>
      <c r="H41" s="84">
        <v>708.72293131000004</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10044.656000000001</v>
      </c>
      <c r="C45" s="157">
        <v>11284.700999999999</v>
      </c>
      <c r="D45" s="157">
        <v>11842.584999999999</v>
      </c>
      <c r="E45" s="157">
        <v>10816.282999999999</v>
      </c>
      <c r="F45" s="155">
        <v>11425.763000000001</v>
      </c>
      <c r="G45" s="157">
        <v>11504.851000000001</v>
      </c>
      <c r="H45" s="157">
        <v>10061.799999999999</v>
      </c>
    </row>
    <row r="46" spans="1:8">
      <c r="A46" s="49" t="str">
        <f>HLOOKUP(INDICE!$F$2,Nombres!$C$3:$E$853,121)</f>
        <v>Customer deposits under management (**)</v>
      </c>
      <c r="B46" s="155">
        <v>11565.803032420001</v>
      </c>
      <c r="C46" s="157">
        <v>11935.74776009</v>
      </c>
      <c r="D46" s="157">
        <v>11926.887464380001</v>
      </c>
      <c r="E46" s="157">
        <v>11002.60931571</v>
      </c>
      <c r="F46" s="155">
        <v>11752.56221342</v>
      </c>
      <c r="G46" s="157">
        <v>11401.301355109999</v>
      </c>
      <c r="H46" s="157">
        <v>9702.0727685000002</v>
      </c>
    </row>
    <row r="47" spans="1:8">
      <c r="A47" s="49" t="str">
        <f>HLOOKUP(INDICE!$F$2,Nombres!$C$3:$E$853,122)</f>
        <v>Mutual funds</v>
      </c>
      <c r="B47" s="155">
        <v>700.57240402000002</v>
      </c>
      <c r="C47" s="157">
        <v>669.71962384000005</v>
      </c>
      <c r="D47" s="157">
        <v>750.69818310999995</v>
      </c>
      <c r="E47" s="157">
        <v>669.37413530000003</v>
      </c>
      <c r="F47" s="155">
        <v>769.73630184000001</v>
      </c>
      <c r="G47" s="157">
        <v>708.02099112999997</v>
      </c>
      <c r="H47" s="157">
        <v>586.95998035000002</v>
      </c>
    </row>
    <row r="48" spans="1:8">
      <c r="A48" s="49" t="str">
        <f>HLOOKUP(INDICE!$F$2,Nombres!$C$3:$E$853,206)</f>
        <v>Pension funds</v>
      </c>
      <c r="B48" s="238">
        <v>0</v>
      </c>
      <c r="C48" s="239">
        <v>0</v>
      </c>
      <c r="D48" s="239">
        <v>0</v>
      </c>
      <c r="E48" s="239">
        <v>0</v>
      </c>
      <c r="F48" s="238">
        <v>0</v>
      </c>
      <c r="G48" s="239">
        <v>0</v>
      </c>
      <c r="H48" s="239">
        <v>0</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169.33961524450001</v>
      </c>
      <c r="C56" s="83">
        <v>176.69264271029999</v>
      </c>
      <c r="D56" s="83">
        <v>173.08063638829998</v>
      </c>
      <c r="E56" s="148">
        <v>186.43580543510001</v>
      </c>
      <c r="F56" s="54">
        <v>190.05527857110002</v>
      </c>
      <c r="G56" s="54">
        <v>189.39523890980001</v>
      </c>
      <c r="H56" s="54">
        <v>200.96800387909997</v>
      </c>
    </row>
    <row r="57" spans="1:8">
      <c r="A57" s="49" t="str">
        <f>HLOOKUP(INDICE!$F$2,Nombres!$C$3:$E$853,39)</f>
        <v>Net fees and commissions</v>
      </c>
      <c r="B57" s="149">
        <v>19.308077492900001</v>
      </c>
      <c r="C57" s="84">
        <v>19.714321099199999</v>
      </c>
      <c r="D57" s="84">
        <v>21.0956642881</v>
      </c>
      <c r="E57" s="150">
        <v>20.6576893513</v>
      </c>
      <c r="F57" s="73">
        <v>16.8671378883</v>
      </c>
      <c r="G57" s="73">
        <v>20.210013397499999</v>
      </c>
      <c r="H57" s="73">
        <v>20.928678714100002</v>
      </c>
    </row>
    <row r="58" spans="1:8">
      <c r="A58" s="49" t="str">
        <f>HLOOKUP(INDICE!$F$2,Nombres!$C$3:$E$853,40)</f>
        <v>Net trading income</v>
      </c>
      <c r="B58" s="149">
        <v>14.201747150600001</v>
      </c>
      <c r="C58" s="84">
        <v>10.735102879599999</v>
      </c>
      <c r="D58" s="84">
        <v>14.030309330400001</v>
      </c>
      <c r="E58" s="150">
        <v>18.918693146599999</v>
      </c>
      <c r="F58" s="73">
        <v>16.737792595000002</v>
      </c>
      <c r="G58" s="73">
        <v>9.8662415882999994</v>
      </c>
      <c r="H58" s="73">
        <v>6.4456741865999998</v>
      </c>
    </row>
    <row r="59" spans="1:8" ht="17.25" customHeight="1">
      <c r="A59" s="49" t="str">
        <f>HLOOKUP(INDICE!$F$2,Nombres!$C$3:$E$853,95)</f>
        <v>Other income/expenses</v>
      </c>
      <c r="B59" s="149">
        <v>4.9589557637999997</v>
      </c>
      <c r="C59" s="84">
        <v>3.3527644836000001</v>
      </c>
      <c r="D59" s="84">
        <v>4.7827519964</v>
      </c>
      <c r="E59" s="150">
        <v>3.8947034911</v>
      </c>
      <c r="F59" s="73">
        <v>11.032055999400001</v>
      </c>
      <c r="G59" s="73">
        <v>4.7398006249000009</v>
      </c>
      <c r="H59" s="73">
        <v>3.2461417456000001</v>
      </c>
    </row>
    <row r="60" spans="1:8" ht="15.75" customHeight="1">
      <c r="A60" s="54" t="str">
        <f>HLOOKUP(INDICE!$F$2,Nombres!$C$3:$E$853,44)</f>
        <v>Gross income</v>
      </c>
      <c r="B60" s="147">
        <v>207.80839565170001</v>
      </c>
      <c r="C60" s="83">
        <v>210.49483117250003</v>
      </c>
      <c r="D60" s="83">
        <v>212.98936200330002</v>
      </c>
      <c r="E60" s="148">
        <v>229.90689142410002</v>
      </c>
      <c r="F60" s="54">
        <v>234.6922650539</v>
      </c>
      <c r="G60" s="54">
        <v>224.21129452060001</v>
      </c>
      <c r="H60" s="54">
        <v>231.58849852549997</v>
      </c>
    </row>
    <row r="61" spans="1:8">
      <c r="A61" s="49" t="str">
        <f>HLOOKUP(INDICE!$F$2,Nombres!$C$3:$E$853,45)</f>
        <v>Operating expenses</v>
      </c>
      <c r="B61" s="149">
        <v>-85.788638836299995</v>
      </c>
      <c r="C61" s="84">
        <v>-85.666235531499993</v>
      </c>
      <c r="D61" s="84">
        <v>-87.714334519100007</v>
      </c>
      <c r="E61" s="150">
        <v>-97.118872463299994</v>
      </c>
      <c r="F61" s="73">
        <v>-91.810293500100002</v>
      </c>
      <c r="G61" s="73">
        <v>-88.726688590400002</v>
      </c>
      <c r="H61" s="73">
        <v>-91.290710189800009</v>
      </c>
    </row>
    <row r="62" spans="1:8">
      <c r="A62" s="49" t="str">
        <f>HLOOKUP(INDICE!$F$2,Nombres!$C$3:$E$853,46)</f>
        <v xml:space="preserve">  Administration expenses</v>
      </c>
      <c r="B62" s="149">
        <v>-79.3239671802</v>
      </c>
      <c r="C62" s="84">
        <v>-79.070154828399993</v>
      </c>
      <c r="D62" s="84">
        <v>-81.242087012399992</v>
      </c>
      <c r="E62" s="150">
        <v>-95.515055524399997</v>
      </c>
      <c r="F62" s="73">
        <v>-86.067126380099992</v>
      </c>
      <c r="G62" s="73">
        <v>-85.044038319099997</v>
      </c>
      <c r="H62" s="73">
        <v>-86.051528200900009</v>
      </c>
    </row>
    <row r="63" spans="1:8">
      <c r="A63" s="189" t="str">
        <f>HLOOKUP(INDICE!$F$2,Nombres!$C$3:$E$853,47)</f>
        <v xml:space="preserve">  Personnel expenses</v>
      </c>
      <c r="B63" s="149">
        <v>-40.097583538500004</v>
      </c>
      <c r="C63" s="84">
        <v>-39.9888667126</v>
      </c>
      <c r="D63" s="84">
        <v>-41.074338766399997</v>
      </c>
      <c r="E63" s="150">
        <v>-42.182606126899998</v>
      </c>
      <c r="F63" s="73">
        <v>-43.040224328299999</v>
      </c>
      <c r="G63" s="73">
        <v>-41.797782313799999</v>
      </c>
      <c r="H63" s="73">
        <v>-42.170993487800004</v>
      </c>
    </row>
    <row r="64" spans="1:8">
      <c r="A64" s="189" t="str">
        <f>HLOOKUP(INDICE!$F$2,Nombres!$C$3:$E$853,48)</f>
        <v xml:space="preserve">  General and administrative expenses</v>
      </c>
      <c r="B64" s="149">
        <v>-39.226383641799998</v>
      </c>
      <c r="C64" s="84">
        <v>-39.0812881158</v>
      </c>
      <c r="D64" s="84">
        <v>-40.167748246100004</v>
      </c>
      <c r="E64" s="150">
        <v>-53.332449397399998</v>
      </c>
      <c r="F64" s="73">
        <v>-43.026902051700006</v>
      </c>
      <c r="G64" s="73">
        <v>-43.246256005399999</v>
      </c>
      <c r="H64" s="73">
        <v>-43.880534712900001</v>
      </c>
    </row>
    <row r="65" spans="1:8" ht="13.5" customHeight="1">
      <c r="A65" s="49" t="str">
        <f>HLOOKUP(INDICE!$F$2,Nombres!$C$3:$E$853,49)</f>
        <v xml:space="preserve">  Depreciation and amortization</v>
      </c>
      <c r="B65" s="149">
        <v>-6.4646716561000002</v>
      </c>
      <c r="C65" s="84">
        <v>-6.5960807031000002</v>
      </c>
      <c r="D65" s="84">
        <v>-6.4722475065999996</v>
      </c>
      <c r="E65" s="150">
        <v>-1.6038169390000001</v>
      </c>
      <c r="F65" s="73">
        <v>-5.7431671199999998</v>
      </c>
      <c r="G65" s="73">
        <v>-3.6826502711</v>
      </c>
      <c r="H65" s="73">
        <v>-5.2391819889000004</v>
      </c>
    </row>
    <row r="66" spans="1:8" ht="14.25" customHeight="1">
      <c r="A66" s="54" t="str">
        <f>HLOOKUP(INDICE!$F$2,Nombres!$C$3:$E$853,50)</f>
        <v>Operating income</v>
      </c>
      <c r="B66" s="147">
        <v>122.0197568154</v>
      </c>
      <c r="C66" s="83">
        <v>124.82859564099999</v>
      </c>
      <c r="D66" s="83">
        <v>125.27502748410001</v>
      </c>
      <c r="E66" s="148">
        <v>132.7880189608</v>
      </c>
      <c r="F66" s="54">
        <v>142.8819715539</v>
      </c>
      <c r="G66" s="54">
        <v>135.48460593030001</v>
      </c>
      <c r="H66" s="54">
        <v>140.29778833569998</v>
      </c>
    </row>
    <row r="67" spans="1:8">
      <c r="A67" s="49" t="str">
        <f>HLOOKUP(INDICE!$F$2,Nombres!$C$3:$E$853,51)</f>
        <v>Impairment on financial assets (net)</v>
      </c>
      <c r="B67" s="149">
        <v>-33.554450110499999</v>
      </c>
      <c r="C67" s="84">
        <v>-35.444528265400002</v>
      </c>
      <c r="D67" s="84">
        <v>-38.3130733789</v>
      </c>
      <c r="E67" s="150">
        <v>-34.489593402800004</v>
      </c>
      <c r="F67" s="73">
        <v>-35.642389124899999</v>
      </c>
      <c r="G67" s="73">
        <v>-44.6315167299</v>
      </c>
      <c r="H67" s="73">
        <v>-48.145095015099997</v>
      </c>
    </row>
    <row r="68" spans="1:8" ht="16.5" customHeight="1">
      <c r="A68" s="49" t="str">
        <f>HLOOKUP(INDICE!$F$2,Nombres!$C$3:$E$853,160)</f>
        <v>Provisions (net) and other gains/losses</v>
      </c>
      <c r="B68" s="149">
        <v>3.7362553199999982E-2</v>
      </c>
      <c r="C68" s="84">
        <v>0.79984221400000011</v>
      </c>
      <c r="D68" s="84">
        <v>1.2949531722000001</v>
      </c>
      <c r="E68" s="150">
        <v>-2.5903006885000002</v>
      </c>
      <c r="F68" s="73">
        <v>-3.0260003210999997</v>
      </c>
      <c r="G68" s="73">
        <v>11.642786468899999</v>
      </c>
      <c r="H68" s="73">
        <v>-1.4167863379999999</v>
      </c>
    </row>
    <row r="69" spans="1:8" ht="12.75" customHeight="1">
      <c r="A69" s="54" t="str">
        <f>HLOOKUP(INDICE!$F$2,Nombres!$C$3:$E$853,54)</f>
        <v>Income before tax</v>
      </c>
      <c r="B69" s="147">
        <v>88.502669258200001</v>
      </c>
      <c r="C69" s="83">
        <v>90.183909589500004</v>
      </c>
      <c r="D69" s="83">
        <v>88.256907277400003</v>
      </c>
      <c r="E69" s="148">
        <v>95.708124869499997</v>
      </c>
      <c r="F69" s="54">
        <v>104.2135821079</v>
      </c>
      <c r="G69" s="54">
        <v>102.49587566949999</v>
      </c>
      <c r="H69" s="54">
        <v>90.735906982700001</v>
      </c>
    </row>
    <row r="70" spans="1:8" ht="13.5" customHeight="1">
      <c r="A70" s="49" t="str">
        <f>HLOOKUP(INDICE!$F$2,Nombres!$C$3:$E$853,55)</f>
        <v>Income tax</v>
      </c>
      <c r="B70" s="149">
        <v>-29.094699953899998</v>
      </c>
      <c r="C70" s="84">
        <v>-24.587918636400001</v>
      </c>
      <c r="D70" s="84">
        <v>-27.732921505</v>
      </c>
      <c r="E70" s="150">
        <v>-28.430459542400001</v>
      </c>
      <c r="F70" s="73">
        <v>-33.394305866700002</v>
      </c>
      <c r="G70" s="73">
        <v>-17.016785652500001</v>
      </c>
      <c r="H70" s="73">
        <v>-33.514320710900002</v>
      </c>
    </row>
    <row r="71" spans="1:8" ht="12.75" customHeight="1">
      <c r="A71" s="54" t="str">
        <f>HLOOKUP(INDICE!$F$2,Nombres!$C$3:$E$853,56)</f>
        <v>Net income</v>
      </c>
      <c r="B71" s="147">
        <v>59.407969304399998</v>
      </c>
      <c r="C71" s="83">
        <v>65.595990953099999</v>
      </c>
      <c r="D71" s="83">
        <v>60.523985772499998</v>
      </c>
      <c r="E71" s="148">
        <v>67.27766532710001</v>
      </c>
      <c r="F71" s="54">
        <v>70.819276241099999</v>
      </c>
      <c r="G71" s="54">
        <v>85.479090017100006</v>
      </c>
      <c r="H71" s="54">
        <v>57.221586271799993</v>
      </c>
    </row>
    <row r="72" spans="1:8" ht="12.75" customHeight="1">
      <c r="A72" s="49" t="str">
        <f>HLOOKUP(INDICE!$F$2,Nombres!$C$3:$E$853,57)</f>
        <v>Non-controlling interests</v>
      </c>
      <c r="B72" s="149">
        <v>-2.3920868131999997</v>
      </c>
      <c r="C72" s="84">
        <v>-2.6191859823999999</v>
      </c>
      <c r="D72" s="84">
        <v>-2.3764127305999998</v>
      </c>
      <c r="E72" s="150">
        <v>-2.6322507982999999</v>
      </c>
      <c r="F72" s="73">
        <v>-2.7125143332999997</v>
      </c>
      <c r="G72" s="73">
        <v>-3.4296563603000001</v>
      </c>
      <c r="H72" s="73">
        <v>-2.2175025063999998</v>
      </c>
    </row>
    <row r="73" spans="1:8" ht="15" customHeight="1">
      <c r="A73" s="54" t="str">
        <f>HLOOKUP(INDICE!$F$2,Nombres!$C$3:$E$853,58)</f>
        <v>Net attributable profit</v>
      </c>
      <c r="B73" s="147">
        <v>57.015882491200003</v>
      </c>
      <c r="C73" s="83">
        <v>62.9768049706</v>
      </c>
      <c r="D73" s="83">
        <v>58.147573041800001</v>
      </c>
      <c r="E73" s="148">
        <v>64.6454145286</v>
      </c>
      <c r="F73" s="54">
        <v>68.106761907800006</v>
      </c>
      <c r="G73" s="54">
        <v>82.049433656800005</v>
      </c>
      <c r="H73" s="54">
        <v>55.004083765500006</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966.13667750679997</v>
      </c>
      <c r="C78" s="84">
        <v>815.28748071979999</v>
      </c>
      <c r="D78" s="84">
        <v>743.93123469390002</v>
      </c>
      <c r="E78" s="150">
        <v>810.01518604650005</v>
      </c>
      <c r="F78" s="158">
        <v>1409.2701495844999</v>
      </c>
      <c r="G78" s="84">
        <v>970.44676878610005</v>
      </c>
      <c r="H78" s="84">
        <v>1148.6610000000001</v>
      </c>
    </row>
    <row r="79" spans="1:8">
      <c r="A79" s="49" t="str">
        <f>HLOOKUP(INDICE!$F$2,Nombres!$C$3:$E$853,101)</f>
        <v>Financial assets</v>
      </c>
      <c r="B79" s="149">
        <v>2204.1857235772</v>
      </c>
      <c r="C79" s="84">
        <v>1828.5200462724999</v>
      </c>
      <c r="D79" s="84">
        <v>1609.6977397958999</v>
      </c>
      <c r="E79" s="150">
        <v>2350.5791279069999</v>
      </c>
      <c r="F79" s="158">
        <v>2367.5840554017</v>
      </c>
      <c r="G79" s="84">
        <v>2303.7159479769002</v>
      </c>
      <c r="H79" s="84">
        <v>2337.317</v>
      </c>
    </row>
    <row r="80" spans="1:8">
      <c r="A80" s="49" t="str">
        <f>HLOOKUP(INDICE!$F$2,Nombres!$C$3:$E$853,102)</f>
        <v>Loans and receivables</v>
      </c>
      <c r="B80" s="149">
        <v>7795.6608888889004</v>
      </c>
      <c r="C80" s="84">
        <v>8149.4413367609004</v>
      </c>
      <c r="D80" s="84">
        <v>8527.8225102040997</v>
      </c>
      <c r="E80" s="150">
        <v>8880.4529767442</v>
      </c>
      <c r="F80" s="158">
        <v>9160.9301717450999</v>
      </c>
      <c r="G80" s="84">
        <v>9675.5246531792</v>
      </c>
      <c r="H80" s="84">
        <v>10084.153</v>
      </c>
    </row>
    <row r="81" spans="1:8">
      <c r="A81" s="49" t="str">
        <f>HLOOKUP(INDICE!$F$2,Nombres!$C$3:$E$853,103)</f>
        <v xml:space="preserve">  . Loans and advances to customers</v>
      </c>
      <c r="B81" s="149">
        <v>7537.4323414634</v>
      </c>
      <c r="C81" s="84">
        <v>8038.2255681234001</v>
      </c>
      <c r="D81" s="84">
        <v>8368.9794234694</v>
      </c>
      <c r="E81" s="150">
        <v>8710.2962790698002</v>
      </c>
      <c r="F81" s="158">
        <v>8760.6292022160997</v>
      </c>
      <c r="G81" s="84">
        <v>9203.9585953756996</v>
      </c>
      <c r="H81" s="84">
        <v>9738.7369999999992</v>
      </c>
    </row>
    <row r="82" spans="1:8">
      <c r="A82" s="49" t="str">
        <f>HLOOKUP(INDICE!$F$2,Nombres!$C$3:$E$853,104)</f>
        <v xml:space="preserve">  . Loans and advances to credit institutions and other</v>
      </c>
      <c r="B82" s="149">
        <v>258.22854742549998</v>
      </c>
      <c r="C82" s="84">
        <v>111.21576863750001</v>
      </c>
      <c r="D82" s="84">
        <v>158.84308673469999</v>
      </c>
      <c r="E82" s="150">
        <v>170.15669767439999</v>
      </c>
      <c r="F82" s="158">
        <v>400.30096952909997</v>
      </c>
      <c r="G82" s="84">
        <v>471.56605780349997</v>
      </c>
      <c r="H82" s="84">
        <v>345.416</v>
      </c>
    </row>
    <row r="83" spans="1:8">
      <c r="A83" s="49" t="str">
        <f>HLOOKUP(INDICE!$F$2,Nombres!$C$3:$E$853,106)</f>
        <v>Tangible assets</v>
      </c>
      <c r="B83" s="149">
        <v>90.999154471500006</v>
      </c>
      <c r="C83" s="84">
        <v>87.676277635000005</v>
      </c>
      <c r="D83" s="84">
        <v>86.806836734699999</v>
      </c>
      <c r="E83" s="150">
        <v>100.9455290698</v>
      </c>
      <c r="F83" s="158">
        <v>98.882321329600003</v>
      </c>
      <c r="G83" s="84">
        <v>96.888699422000002</v>
      </c>
      <c r="H83" s="84">
        <v>95.948999999999998</v>
      </c>
    </row>
    <row r="84" spans="1:8">
      <c r="A84" s="49" t="str">
        <f>HLOOKUP(INDICE!$F$2,Nombres!$C$3:$E$853,107)</f>
        <v>Other assets</v>
      </c>
      <c r="B84" s="149">
        <v>192.68632656210158</v>
      </c>
      <c r="C84" s="84">
        <v>221.22209770330088</v>
      </c>
      <c r="D84" s="84">
        <v>235.51624486329777</v>
      </c>
      <c r="E84" s="150">
        <v>185.36505434299849</v>
      </c>
      <c r="F84" s="158">
        <v>229.77344686309848</v>
      </c>
      <c r="G84" s="84">
        <v>254.58050289019999</v>
      </c>
      <c r="H84" s="84">
        <v>318.322</v>
      </c>
    </row>
    <row r="85" spans="1:8">
      <c r="A85" s="54" t="str">
        <f>HLOOKUP(INDICE!$F$2,Nombres!$C$3:$E$853,108)</f>
        <v>Total assets / Liabilities and equity</v>
      </c>
      <c r="B85" s="147">
        <v>11249.668771006602</v>
      </c>
      <c r="C85" s="83">
        <v>11102.147239091501</v>
      </c>
      <c r="D85" s="83">
        <v>11203.774566291899</v>
      </c>
      <c r="E85" s="148">
        <v>12327.357874110501</v>
      </c>
      <c r="F85" s="147">
        <v>13266.440144923999</v>
      </c>
      <c r="G85" s="83">
        <v>13301.1565722544</v>
      </c>
      <c r="H85" s="83">
        <v>13984.402000000002</v>
      </c>
    </row>
    <row r="86" spans="1:8">
      <c r="A86" s="49" t="str">
        <f>HLOOKUP(INDICE!$F$2,Nombres!$C$3:$E$853,109)</f>
        <v>Deposits from central banks and credit institutions</v>
      </c>
      <c r="B86" s="149">
        <v>296.76879132789998</v>
      </c>
      <c r="C86" s="84">
        <v>286.4139280206</v>
      </c>
      <c r="D86" s="84">
        <v>224.90179081630001</v>
      </c>
      <c r="E86" s="150">
        <v>627.03088953489998</v>
      </c>
      <c r="F86" s="158">
        <v>972.86267036009997</v>
      </c>
      <c r="G86" s="84">
        <v>555.36901734100002</v>
      </c>
      <c r="H86" s="84">
        <v>654.952</v>
      </c>
    </row>
    <row r="87" spans="1:8">
      <c r="A87" s="49" t="str">
        <f>HLOOKUP(INDICE!$F$2,Nombres!$C$3:$E$853,110)</f>
        <v>Deposits from customers</v>
      </c>
      <c r="B87" s="149">
        <v>8953.4873224931998</v>
      </c>
      <c r="C87" s="84">
        <v>8771.5810334189991</v>
      </c>
      <c r="D87" s="84">
        <v>8583.1773724489994</v>
      </c>
      <c r="E87" s="150">
        <v>8961.7360058140002</v>
      </c>
      <c r="F87" s="158">
        <v>9139.6354515234998</v>
      </c>
      <c r="G87" s="84">
        <v>9259.8410115607003</v>
      </c>
      <c r="H87" s="84">
        <v>9508.125</v>
      </c>
    </row>
    <row r="88" spans="1:8">
      <c r="A88" s="49" t="str">
        <f>HLOOKUP(INDICE!$F$2,Nombres!$C$3:$E$853,111)</f>
        <v>Debt certificates</v>
      </c>
      <c r="B88" s="149">
        <v>189.90555013549999</v>
      </c>
      <c r="C88" s="84">
        <v>181.94452442159999</v>
      </c>
      <c r="D88" s="84">
        <v>183.5339336735</v>
      </c>
      <c r="E88" s="150">
        <v>178.45485465120001</v>
      </c>
      <c r="F88" s="158">
        <v>167.82020498610001</v>
      </c>
      <c r="G88" s="84">
        <v>171.82235260120001</v>
      </c>
      <c r="H88" s="84">
        <v>177.471</v>
      </c>
    </row>
    <row r="89" spans="1:8">
      <c r="A89" s="49" t="str">
        <f>HLOOKUP(INDICE!$F$2,Nombres!$C$3:$E$853,112)</f>
        <v>Subordinated liabilities</v>
      </c>
      <c r="B89" s="149">
        <v>209.4481084011</v>
      </c>
      <c r="C89" s="84">
        <v>209.55859640099999</v>
      </c>
      <c r="D89" s="84">
        <v>209.5723367347</v>
      </c>
      <c r="E89" s="150">
        <v>281.75905232560001</v>
      </c>
      <c r="F89" s="158">
        <v>296.07575623269997</v>
      </c>
      <c r="G89" s="84">
        <v>589.00790751449995</v>
      </c>
      <c r="H89" s="84">
        <v>630.81700000000001</v>
      </c>
    </row>
    <row r="90" spans="1:8">
      <c r="A90" s="49" t="str">
        <f>HLOOKUP(INDICE!$F$2,Nombres!$C$3:$E$853,114)</f>
        <v xml:space="preserve">Financial liabilities held for trading </v>
      </c>
      <c r="B90" s="149">
        <v>77.387414634099997</v>
      </c>
      <c r="C90" s="84">
        <v>83.835496144000004</v>
      </c>
      <c r="D90" s="84">
        <v>390.39145918370002</v>
      </c>
      <c r="E90" s="150">
        <v>566.02559302329996</v>
      </c>
      <c r="F90" s="158">
        <v>963.85010526320002</v>
      </c>
      <c r="G90" s="84">
        <v>924.42887283239997</v>
      </c>
      <c r="H90" s="84">
        <v>1114.3030000000001</v>
      </c>
    </row>
    <row r="91" spans="1:8">
      <c r="A91" s="49" t="str">
        <f>HLOOKUP(INDICE!$F$2,Nombres!$C$3:$E$853,115)</f>
        <v>Other liabilities</v>
      </c>
      <c r="B91" s="149">
        <v>862.436321142</v>
      </c>
      <c r="C91" s="84">
        <v>903.5008965208001</v>
      </c>
      <c r="D91" s="84">
        <v>951.25097412830007</v>
      </c>
      <c r="E91" s="150">
        <v>973.18733472099996</v>
      </c>
      <c r="F91" s="158">
        <v>1003.9119643699</v>
      </c>
      <c r="G91" s="84">
        <v>1098.2474227747016</v>
      </c>
      <c r="H91" s="84">
        <v>1190.0110686900018</v>
      </c>
    </row>
    <row r="92" spans="1:8" ht="12" customHeight="1">
      <c r="A92" s="49" t="str">
        <f>HLOOKUP(INDICE!$F$2,Nombres!$C$3:$E$853,116)</f>
        <v>Economic capital allocated</v>
      </c>
      <c r="B92" s="149">
        <v>660.23526287259995</v>
      </c>
      <c r="C92" s="84">
        <v>665.31276416449998</v>
      </c>
      <c r="D92" s="84">
        <v>660.94669930650002</v>
      </c>
      <c r="E92" s="150">
        <v>739.16414404060004</v>
      </c>
      <c r="F92" s="158">
        <v>722.28399218840002</v>
      </c>
      <c r="G92" s="84">
        <v>702.43998763009995</v>
      </c>
      <c r="H92" s="84">
        <v>708.72293131000004</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7785.2889322493002</v>
      </c>
      <c r="C97" s="157">
        <v>8296.7210437018002</v>
      </c>
      <c r="D97" s="157">
        <v>8640.2533418368002</v>
      </c>
      <c r="E97" s="157">
        <v>8992.6073779069993</v>
      </c>
      <c r="F97" s="155">
        <v>9051.9895235457006</v>
      </c>
      <c r="G97" s="157">
        <v>9509.790132948001</v>
      </c>
      <c r="H97" s="157">
        <v>10061.799999999999</v>
      </c>
    </row>
    <row r="98" spans="1:8">
      <c r="A98" s="49" t="str">
        <f>HLOOKUP(INDICE!$F$2,Nombres!$C$3:$E$853,121)</f>
        <v>Customer deposits under management (**)</v>
      </c>
      <c r="B98" s="155">
        <v>8964.2809411169001</v>
      </c>
      <c r="C98" s="157">
        <v>8775.3826719427998</v>
      </c>
      <c r="D98" s="157">
        <v>8701.7597316650008</v>
      </c>
      <c r="E98" s="157">
        <v>9147.5182101541996</v>
      </c>
      <c r="F98" s="155">
        <v>9310.8941635405008</v>
      </c>
      <c r="G98" s="157">
        <v>9424.1970738770997</v>
      </c>
      <c r="H98" s="157">
        <v>9702.0727685000002</v>
      </c>
    </row>
    <row r="99" spans="1:8">
      <c r="A99" s="49" t="str">
        <f>HLOOKUP(INDICE!$F$2,Nombres!$C$3:$E$853,122)</f>
        <v>Mutual funds</v>
      </c>
      <c r="B99" s="155">
        <v>542.99107737049997</v>
      </c>
      <c r="C99" s="157">
        <v>492.39026328599999</v>
      </c>
      <c r="D99" s="157">
        <v>547.70326624860002</v>
      </c>
      <c r="E99" s="157">
        <v>556.51454272030003</v>
      </c>
      <c r="F99" s="155">
        <v>609.81878760730001</v>
      </c>
      <c r="G99" s="157">
        <v>585.24278457569994</v>
      </c>
      <c r="H99" s="157">
        <v>586.95998035000002</v>
      </c>
    </row>
    <row r="100" spans="1:8">
      <c r="A100" s="49" t="str">
        <f>HLOOKUP(INDICE!$F$2,Nombres!$C$3:$E$853,206)</f>
        <v>Pension funds</v>
      </c>
      <c r="B100" s="238">
        <v>0</v>
      </c>
      <c r="C100" s="239">
        <v>0</v>
      </c>
      <c r="D100" s="239">
        <v>0</v>
      </c>
      <c r="E100" s="239">
        <v>0</v>
      </c>
      <c r="F100" s="238">
        <v>0</v>
      </c>
      <c r="G100" s="239">
        <v>0</v>
      </c>
      <c r="H100" s="239">
        <v>0</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HLOOKUP(INDICE!$F$2,Nombres!$C$3:$E$853,18)</f>
        <v>Peru</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166.85599969</v>
      </c>
      <c r="C6" s="83">
        <v>171.48941416</v>
      </c>
      <c r="D6" s="83">
        <v>177.25961470999999</v>
      </c>
      <c r="E6" s="148">
        <v>185.02180048</v>
      </c>
      <c r="F6" s="83">
        <v>189.05080909999998</v>
      </c>
      <c r="G6" s="83">
        <v>191.35578784999998</v>
      </c>
      <c r="H6" s="83">
        <v>181.26759018000001</v>
      </c>
    </row>
    <row r="7" spans="1:8">
      <c r="A7" s="49" t="str">
        <f>HLOOKUP(INDICE!$F$2,Nombres!$C$3:$E$853,39)</f>
        <v>Net fees and commissions</v>
      </c>
      <c r="B7" s="149">
        <v>43.5330236</v>
      </c>
      <c r="C7" s="84">
        <v>46.713892439999995</v>
      </c>
      <c r="D7" s="84">
        <v>46.79410395</v>
      </c>
      <c r="E7" s="150">
        <v>51.876790099999994</v>
      </c>
      <c r="F7" s="84">
        <v>51.27394692</v>
      </c>
      <c r="G7" s="84">
        <v>53.285336699999995</v>
      </c>
      <c r="H7" s="84">
        <v>52.811831120000008</v>
      </c>
    </row>
    <row r="8" spans="1:8">
      <c r="A8" s="49" t="str">
        <f>HLOOKUP(INDICE!$F$2,Nombres!$C$3:$E$853,40)</f>
        <v>Net trading income</v>
      </c>
      <c r="B8" s="149">
        <v>23.822358229999999</v>
      </c>
      <c r="C8" s="84">
        <v>29.312395389999999</v>
      </c>
      <c r="D8" s="84">
        <v>29.901446809999996</v>
      </c>
      <c r="E8" s="150">
        <v>43.474498519999997</v>
      </c>
      <c r="F8" s="84">
        <v>42.359523639999999</v>
      </c>
      <c r="G8" s="84">
        <v>51.092704230000002</v>
      </c>
      <c r="H8" s="84">
        <v>36.887145279999999</v>
      </c>
    </row>
    <row r="9" spans="1:8">
      <c r="A9" s="49" t="str">
        <f>HLOOKUP(INDICE!$F$2,Nombres!$C$3:$E$853,95)</f>
        <v>Other income/expenses</v>
      </c>
      <c r="B9" s="149">
        <v>-4.4380003099999996</v>
      </c>
      <c r="C9" s="84">
        <v>-2.3210002899999997</v>
      </c>
      <c r="D9" s="84">
        <v>-3.9849992199999997</v>
      </c>
      <c r="E9" s="150">
        <v>-3.6000000600000002</v>
      </c>
      <c r="F9" s="84">
        <v>-5.768000090000001</v>
      </c>
      <c r="G9" s="84">
        <v>-4.33800031</v>
      </c>
      <c r="H9" s="84">
        <v>-4.7099986200000004</v>
      </c>
    </row>
    <row r="10" spans="1:8">
      <c r="A10" s="54" t="str">
        <f>HLOOKUP(INDICE!$F$2,Nombres!$C$3:$E$853,44)</f>
        <v>Gross income</v>
      </c>
      <c r="B10" s="147">
        <v>229.77338121000003</v>
      </c>
      <c r="C10" s="83">
        <v>245.1947017</v>
      </c>
      <c r="D10" s="83">
        <v>249.97016625000003</v>
      </c>
      <c r="E10" s="148">
        <v>276.77308904</v>
      </c>
      <c r="F10" s="83">
        <v>276.91627957000003</v>
      </c>
      <c r="G10" s="83">
        <v>291.39582846999997</v>
      </c>
      <c r="H10" s="83">
        <v>266.25656795999998</v>
      </c>
    </row>
    <row r="11" spans="1:8">
      <c r="A11" s="49" t="str">
        <f>HLOOKUP(INDICE!$F$2,Nombres!$C$3:$E$853,45)</f>
        <v>Operating expenses</v>
      </c>
      <c r="B11" s="149">
        <v>-85.529563749999994</v>
      </c>
      <c r="C11" s="84">
        <v>-84.398423629999996</v>
      </c>
      <c r="D11" s="84">
        <v>-92.031496720000007</v>
      </c>
      <c r="E11" s="150">
        <v>-88.072414269999996</v>
      </c>
      <c r="F11" s="84">
        <v>-100.67826446000001</v>
      </c>
      <c r="G11" s="84">
        <v>-100.63826116999999</v>
      </c>
      <c r="H11" s="84">
        <v>-99.706267950000012</v>
      </c>
    </row>
    <row r="12" spans="1:8">
      <c r="A12" s="49" t="str">
        <f>HLOOKUP(INDICE!$F$2,Nombres!$C$3:$E$853,46)</f>
        <v xml:space="preserve">  Administration expenses</v>
      </c>
      <c r="B12" s="149">
        <v>-79.585563379999996</v>
      </c>
      <c r="C12" s="84">
        <v>-78.411424530000005</v>
      </c>
      <c r="D12" s="84">
        <v>-85.651495409999995</v>
      </c>
      <c r="E12" s="150">
        <v>-81.239415210000004</v>
      </c>
      <c r="F12" s="84">
        <v>-93.137264239999993</v>
      </c>
      <c r="G12" s="84">
        <v>-93.348261010000002</v>
      </c>
      <c r="H12" s="84">
        <v>-92.482269029999998</v>
      </c>
    </row>
    <row r="13" spans="1:8">
      <c r="A13" s="88" t="str">
        <f>HLOOKUP(INDICE!$F$2,Nombres!$C$3:$E$853,47)</f>
        <v xml:space="preserve">  Personnel expenses</v>
      </c>
      <c r="B13" s="149">
        <v>-44.176999719999998</v>
      </c>
      <c r="C13" s="84">
        <v>-43.992000300000001</v>
      </c>
      <c r="D13" s="84">
        <v>-46.74899911</v>
      </c>
      <c r="E13" s="150">
        <v>-45.301001470000003</v>
      </c>
      <c r="F13" s="84">
        <v>-52.421999470000003</v>
      </c>
      <c r="G13" s="84">
        <v>-52.096000179999997</v>
      </c>
      <c r="H13" s="84">
        <v>-49.524000260000001</v>
      </c>
    </row>
    <row r="14" spans="1:8">
      <c r="A14" s="88" t="str">
        <f>HLOOKUP(INDICE!$F$2,Nombres!$C$3:$E$853,48)</f>
        <v xml:space="preserve">  General and administrative expenses</v>
      </c>
      <c r="B14" s="149">
        <v>-35.408563659999999</v>
      </c>
      <c r="C14" s="84">
        <v>-34.419424229999997</v>
      </c>
      <c r="D14" s="84">
        <v>-38.902496300000003</v>
      </c>
      <c r="E14" s="150">
        <v>-35.938413740000001</v>
      </c>
      <c r="F14" s="84">
        <v>-40.715264770000005</v>
      </c>
      <c r="G14" s="84">
        <v>-41.252260830000004</v>
      </c>
      <c r="H14" s="84">
        <v>-42.958268770000004</v>
      </c>
    </row>
    <row r="15" spans="1:8" ht="13.5" customHeight="1">
      <c r="A15" s="49" t="str">
        <f>HLOOKUP(INDICE!$F$2,Nombres!$C$3:$E$853,49)</f>
        <v xml:space="preserve">  Depreciation and amortization</v>
      </c>
      <c r="B15" s="149">
        <v>-5.9440003699999995</v>
      </c>
      <c r="C15" s="84">
        <v>-5.9869991000000002</v>
      </c>
      <c r="D15" s="84">
        <v>-6.3800013099999999</v>
      </c>
      <c r="E15" s="150">
        <v>-6.8329990600000006</v>
      </c>
      <c r="F15" s="84">
        <v>-7.541000219999999</v>
      </c>
      <c r="G15" s="84">
        <v>-7.29000016</v>
      </c>
      <c r="H15" s="84">
        <v>-7.2239989199999997</v>
      </c>
    </row>
    <row r="16" spans="1:8" ht="12.75" customHeight="1">
      <c r="A16" s="54" t="str">
        <f>HLOOKUP(INDICE!$F$2,Nombres!$C$3:$E$853,50)</f>
        <v>Operating income</v>
      </c>
      <c r="B16" s="147">
        <v>144.24381746</v>
      </c>
      <c r="C16" s="83">
        <v>160.79627807</v>
      </c>
      <c r="D16" s="83">
        <v>157.93866953</v>
      </c>
      <c r="E16" s="148">
        <v>188.70067476999998</v>
      </c>
      <c r="F16" s="83">
        <v>176.23801510999999</v>
      </c>
      <c r="G16" s="83">
        <v>190.75756730000001</v>
      </c>
      <c r="H16" s="83">
        <v>166.55030001</v>
      </c>
    </row>
    <row r="17" spans="1:8" ht="13.5" customHeight="1">
      <c r="A17" s="49" t="str">
        <f>HLOOKUP(INDICE!$F$2,Nombres!$C$3:$E$853,51)</f>
        <v>Impairment on financial assets (net)</v>
      </c>
      <c r="B17" s="149">
        <v>-35.731000210000005</v>
      </c>
      <c r="C17" s="84">
        <v>-36.996000039999998</v>
      </c>
      <c r="D17" s="84">
        <v>-32.329001050000002</v>
      </c>
      <c r="E17" s="150">
        <v>-38.31699922</v>
      </c>
      <c r="F17" s="84">
        <v>-38.324000440000006</v>
      </c>
      <c r="G17" s="84">
        <v>-54.372999840000006</v>
      </c>
      <c r="H17" s="84">
        <v>-43.398000190000005</v>
      </c>
    </row>
    <row r="18" spans="1:8" ht="13.5" customHeight="1">
      <c r="A18" s="49" t="str">
        <f>HLOOKUP(INDICE!$F$2,Nombres!$C$3:$E$853,160)</f>
        <v>Provisions (net) and other gains/losses</v>
      </c>
      <c r="B18" s="149">
        <v>-3.29199983</v>
      </c>
      <c r="C18" s="84">
        <v>-1.2950016799999999</v>
      </c>
      <c r="D18" s="84">
        <v>6.20100126</v>
      </c>
      <c r="E18" s="150">
        <v>-4.1519991599999999</v>
      </c>
      <c r="F18" s="84">
        <v>-2.7770000000000001</v>
      </c>
      <c r="G18" s="84">
        <v>-9.7001500000000185E-2</v>
      </c>
      <c r="H18" s="84">
        <v>1.8100018699999991</v>
      </c>
    </row>
    <row r="19" spans="1:8" ht="12.75" customHeight="1">
      <c r="A19" s="54" t="str">
        <f>HLOOKUP(INDICE!$F$2,Nombres!$C$3:$E$853,54)</f>
        <v>Income before tax</v>
      </c>
      <c r="B19" s="147">
        <v>105.22081742</v>
      </c>
      <c r="C19" s="83">
        <v>122.50527635</v>
      </c>
      <c r="D19" s="83">
        <v>131.81066974000001</v>
      </c>
      <c r="E19" s="148">
        <v>146.23167639000002</v>
      </c>
      <c r="F19" s="83">
        <v>135.13701467000001</v>
      </c>
      <c r="G19" s="83">
        <v>136.28756595999999</v>
      </c>
      <c r="H19" s="83">
        <v>124.96230168999999</v>
      </c>
    </row>
    <row r="20" spans="1:8" ht="13.5" customHeight="1">
      <c r="A20" s="49" t="str">
        <f>HLOOKUP(INDICE!$F$2,Nombres!$C$3:$E$853,55)</f>
        <v>Income tax</v>
      </c>
      <c r="B20" s="149">
        <v>-28.738580839999997</v>
      </c>
      <c r="C20" s="84">
        <v>-33.49256132</v>
      </c>
      <c r="D20" s="84">
        <v>-36.481676419999999</v>
      </c>
      <c r="E20" s="150">
        <v>-41.009929960000001</v>
      </c>
      <c r="F20" s="84">
        <v>-37.463492700000003</v>
      </c>
      <c r="G20" s="84">
        <v>-37.630597760000001</v>
      </c>
      <c r="H20" s="84">
        <v>-34.190604219999997</v>
      </c>
    </row>
    <row r="21" spans="1:8" ht="13.5" customHeight="1">
      <c r="A21" s="54" t="str">
        <f>HLOOKUP(INDICE!$F$2,Nombres!$C$3:$E$853,56)</f>
        <v>Net income</v>
      </c>
      <c r="B21" s="147">
        <v>76.482236580000006</v>
      </c>
      <c r="C21" s="83">
        <v>89.012715029999995</v>
      </c>
      <c r="D21" s="83">
        <v>95.328993319999995</v>
      </c>
      <c r="E21" s="148">
        <v>105.22174643</v>
      </c>
      <c r="F21" s="83">
        <v>97.673521969999996</v>
      </c>
      <c r="G21" s="83">
        <v>98.656968199999994</v>
      </c>
      <c r="H21" s="83">
        <v>90.771697470000007</v>
      </c>
    </row>
    <row r="22" spans="1:8" ht="12" customHeight="1">
      <c r="A22" s="49" t="str">
        <f>HLOOKUP(INDICE!$F$2,Nombres!$C$3:$E$853,57)</f>
        <v>Non-controlling interests</v>
      </c>
      <c r="B22" s="149">
        <v>-40.954314490000002</v>
      </c>
      <c r="C22" s="84">
        <v>-47.674755379999993</v>
      </c>
      <c r="D22" s="84">
        <v>-51.216644099999996</v>
      </c>
      <c r="E22" s="150">
        <v>-56.939384869999998</v>
      </c>
      <c r="F22" s="84">
        <v>-52.005374359999998</v>
      </c>
      <c r="G22" s="84">
        <v>-52.704659059999997</v>
      </c>
      <c r="H22" s="84">
        <v>-49.757034959999999</v>
      </c>
    </row>
    <row r="23" spans="1:8" ht="14.25" customHeight="1">
      <c r="A23" s="54" t="str">
        <f>HLOOKUP(INDICE!$F$2,Nombres!$C$3:$E$853,58)</f>
        <v>Net attributable profit</v>
      </c>
      <c r="B23" s="147">
        <v>35.527922090000004</v>
      </c>
      <c r="C23" s="83">
        <v>41.337959650000002</v>
      </c>
      <c r="D23" s="83">
        <v>44.112349219999999</v>
      </c>
      <c r="E23" s="148">
        <v>48.282361559999998</v>
      </c>
      <c r="F23" s="83">
        <v>45.668147610000005</v>
      </c>
      <c r="G23" s="83">
        <v>45.952309139999997</v>
      </c>
      <c r="H23" s="83">
        <v>41.014662510000001</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2921.672</v>
      </c>
      <c r="C27" s="84">
        <v>2557.3440000000001</v>
      </c>
      <c r="D27" s="84">
        <v>3349.9479999999999</v>
      </c>
      <c r="E27" s="150">
        <v>3858.3359999999998</v>
      </c>
      <c r="F27" s="84">
        <v>4480.1419999999998</v>
      </c>
      <c r="G27" s="84">
        <v>5227.0420000000004</v>
      </c>
      <c r="H27" s="84">
        <v>5413.7780000000002</v>
      </c>
    </row>
    <row r="28" spans="1:8">
      <c r="A28" s="49" t="str">
        <f>HLOOKUP(INDICE!$F$2,Nombres!$C$3:$E$853,101)</f>
        <v>Financial assets</v>
      </c>
      <c r="B28" s="149">
        <v>1187.268</v>
      </c>
      <c r="C28" s="84">
        <v>1034.711</v>
      </c>
      <c r="D28" s="84">
        <v>1805.271</v>
      </c>
      <c r="E28" s="150">
        <v>1192.5709999999999</v>
      </c>
      <c r="F28" s="84">
        <v>1709.77</v>
      </c>
      <c r="G28" s="84">
        <v>1292.6790000000001</v>
      </c>
      <c r="H28" s="84">
        <v>2057.7339999999999</v>
      </c>
    </row>
    <row r="29" spans="1:8">
      <c r="A29" s="49" t="str">
        <f>HLOOKUP(INDICE!$F$2,Nombres!$C$3:$E$853,102)</f>
        <v>Loans and receivables</v>
      </c>
      <c r="B29" s="149">
        <v>10392.911</v>
      </c>
      <c r="C29" s="84">
        <v>10862.712</v>
      </c>
      <c r="D29" s="84">
        <v>11493.339</v>
      </c>
      <c r="E29" s="150">
        <v>11865.819</v>
      </c>
      <c r="F29" s="84">
        <v>13401.378000000001</v>
      </c>
      <c r="G29" s="84">
        <v>13140.682000000001</v>
      </c>
      <c r="H29" s="84">
        <v>12978.004000000001</v>
      </c>
    </row>
    <row r="30" spans="1:8">
      <c r="A30" s="49" t="str">
        <f>HLOOKUP(INDICE!$F$2,Nombres!$C$3:$E$853,103)</f>
        <v xml:space="preserve">  . Loans and advances to customers</v>
      </c>
      <c r="B30" s="149">
        <v>10090.537</v>
      </c>
      <c r="C30" s="84">
        <v>10567.752</v>
      </c>
      <c r="D30" s="84">
        <v>11166.614</v>
      </c>
      <c r="E30" s="150">
        <v>11529.554</v>
      </c>
      <c r="F30" s="84">
        <v>12831.027</v>
      </c>
      <c r="G30" s="84">
        <v>12606.984</v>
      </c>
      <c r="H30" s="84">
        <v>12543.67</v>
      </c>
    </row>
    <row r="31" spans="1:8">
      <c r="A31" s="49" t="str">
        <f>HLOOKUP(INDICE!$F$2,Nombres!$C$3:$E$853,104)</f>
        <v xml:space="preserve">  . Loans and advances to credit institutions and other</v>
      </c>
      <c r="B31" s="154">
        <v>302.37400000000002</v>
      </c>
      <c r="C31" s="84">
        <v>294.95999999999998</v>
      </c>
      <c r="D31" s="84">
        <v>326.72500000000002</v>
      </c>
      <c r="E31" s="150">
        <v>336.26499999999999</v>
      </c>
      <c r="F31" s="84">
        <v>570.351</v>
      </c>
      <c r="G31" s="84">
        <v>533.69799999999998</v>
      </c>
      <c r="H31" s="84">
        <v>434.334</v>
      </c>
    </row>
    <row r="32" spans="1:8">
      <c r="A32" s="49" t="str">
        <f>HLOOKUP(INDICE!$F$2,Nombres!$C$3:$E$853,106)</f>
        <v>Tangible assets</v>
      </c>
      <c r="B32" s="149">
        <v>212.553</v>
      </c>
      <c r="C32" s="84">
        <v>216.81700000000001</v>
      </c>
      <c r="D32" s="84">
        <v>228.999</v>
      </c>
      <c r="E32" s="150">
        <v>237.65700000000001</v>
      </c>
      <c r="F32" s="84">
        <v>257.01400000000001</v>
      </c>
      <c r="G32" s="84">
        <v>236.328</v>
      </c>
      <c r="H32" s="84">
        <v>234.69900000000001</v>
      </c>
    </row>
    <row r="33" spans="1:8">
      <c r="A33" s="49" t="str">
        <f>HLOOKUP(INDICE!$F$2,Nombres!$C$3:$E$853,107)</f>
        <v>Other assets</v>
      </c>
      <c r="B33" s="149">
        <v>452.3925035700002</v>
      </c>
      <c r="C33" s="84">
        <v>368.70102454000192</v>
      </c>
      <c r="D33" s="84">
        <v>411.32505213000013</v>
      </c>
      <c r="E33" s="150">
        <v>421.84888152000445</v>
      </c>
      <c r="F33" s="84">
        <v>560.09864022999955</v>
      </c>
      <c r="G33" s="84">
        <v>326.59154616999967</v>
      </c>
      <c r="H33" s="84">
        <v>633.34500000000003</v>
      </c>
    </row>
    <row r="34" spans="1:8">
      <c r="A34" s="54" t="str">
        <f>HLOOKUP(INDICE!$F$2,Nombres!$C$3:$E$853,108)</f>
        <v>Total assets / Liabilities and equity</v>
      </c>
      <c r="B34" s="147">
        <v>15166.79650357</v>
      </c>
      <c r="C34" s="83">
        <v>15040.28502454</v>
      </c>
      <c r="D34" s="83">
        <v>17288.88205213</v>
      </c>
      <c r="E34" s="148">
        <v>17576.231881520001</v>
      </c>
      <c r="F34" s="83">
        <v>20408.402640229997</v>
      </c>
      <c r="G34" s="83">
        <v>20223.322546170002</v>
      </c>
      <c r="H34" s="83">
        <v>21317.56</v>
      </c>
    </row>
    <row r="35" spans="1:8">
      <c r="A35" s="49" t="str">
        <f>HLOOKUP(INDICE!$F$2,Nombres!$C$3:$E$853,109)</f>
        <v>Deposits from central banks and credit institutions</v>
      </c>
      <c r="B35" s="149">
        <v>1748.655</v>
      </c>
      <c r="C35" s="84">
        <v>1715.2159999999999</v>
      </c>
      <c r="D35" s="84">
        <v>2486.7370000000001</v>
      </c>
      <c r="E35" s="150">
        <v>2409.817</v>
      </c>
      <c r="F35" s="84">
        <v>3306.0630000000001</v>
      </c>
      <c r="G35" s="84">
        <v>3465.0230000000001</v>
      </c>
      <c r="H35" s="84">
        <v>4421.1469999999999</v>
      </c>
    </row>
    <row r="36" spans="1:8">
      <c r="A36" s="49" t="str">
        <f>HLOOKUP(INDICE!$F$2,Nombres!$C$3:$E$853,110)</f>
        <v>Deposits from customers</v>
      </c>
      <c r="B36" s="149">
        <v>9479.1460000000006</v>
      </c>
      <c r="C36" s="84">
        <v>9580.5499999999993</v>
      </c>
      <c r="D36" s="84">
        <v>10359.986000000001</v>
      </c>
      <c r="E36" s="150">
        <v>10522.248</v>
      </c>
      <c r="F36" s="84">
        <v>11945.870999999999</v>
      </c>
      <c r="G36" s="84">
        <v>12016.855</v>
      </c>
      <c r="H36" s="84">
        <v>11935.519</v>
      </c>
    </row>
    <row r="37" spans="1:8">
      <c r="A37" s="49" t="str">
        <f>HLOOKUP(INDICE!$F$2,Nombres!$C$3:$E$853,111)</f>
        <v>Debt certificates</v>
      </c>
      <c r="B37" s="149">
        <v>1432.76</v>
      </c>
      <c r="C37" s="84">
        <v>1498.4359999999999</v>
      </c>
      <c r="D37" s="84">
        <v>1578.453</v>
      </c>
      <c r="E37" s="150">
        <v>1605.44</v>
      </c>
      <c r="F37" s="84">
        <v>1776.4390000000001</v>
      </c>
      <c r="G37" s="84">
        <v>1683.337</v>
      </c>
      <c r="H37" s="84">
        <v>1656.1120000000001</v>
      </c>
    </row>
    <row r="38" spans="1:8" ht="13.5" customHeight="1">
      <c r="A38" s="49" t="str">
        <f>HLOOKUP(INDICE!$F$2,Nombres!$C$3:$E$853,112)</f>
        <v>Subordinated liabilities</v>
      </c>
      <c r="B38" s="149">
        <v>368.55799999999999</v>
      </c>
      <c r="C38" s="84">
        <v>370.47399999999999</v>
      </c>
      <c r="D38" s="84">
        <v>639.351</v>
      </c>
      <c r="E38" s="150">
        <v>661.78399999999999</v>
      </c>
      <c r="F38" s="84">
        <v>723.279</v>
      </c>
      <c r="G38" s="84">
        <v>667.55399999999997</v>
      </c>
      <c r="H38" s="84">
        <v>667.49900000000002</v>
      </c>
    </row>
    <row r="39" spans="1:8">
      <c r="A39" s="49" t="str">
        <f>HLOOKUP(INDICE!$F$2,Nombres!$C$3:$E$853,114)</f>
        <v xml:space="preserve">Financial liabilities held for trading </v>
      </c>
      <c r="B39" s="149">
        <v>112.498</v>
      </c>
      <c r="C39" s="84">
        <v>84.125</v>
      </c>
      <c r="D39" s="84">
        <v>150.321</v>
      </c>
      <c r="E39" s="150">
        <v>195.39699999999999</v>
      </c>
      <c r="F39" s="84">
        <v>291.71199999999999</v>
      </c>
      <c r="G39" s="84">
        <v>264.005</v>
      </c>
      <c r="H39" s="84">
        <v>301.01499999999999</v>
      </c>
    </row>
    <row r="40" spans="1:8">
      <c r="A40" s="49" t="str">
        <f>HLOOKUP(INDICE!$F$2,Nombres!$C$3:$E$853,115)</f>
        <v>Other liabilities</v>
      </c>
      <c r="B40" s="149">
        <v>1599.5171435700001</v>
      </c>
      <c r="C40" s="84">
        <v>1333.8908045400003</v>
      </c>
      <c r="D40" s="84">
        <v>1603.2172955799999</v>
      </c>
      <c r="E40" s="150">
        <v>1712.7943398999998</v>
      </c>
      <c r="F40" s="84">
        <v>1877.0257402299999</v>
      </c>
      <c r="G40" s="84">
        <v>1671.5233361700002</v>
      </c>
      <c r="H40" s="84">
        <v>1883.2802475200037</v>
      </c>
    </row>
    <row r="41" spans="1:8" ht="12.75" customHeight="1">
      <c r="A41" s="49" t="str">
        <f>HLOOKUP(INDICE!$F$2,Nombres!$C$3:$E$853,116)</f>
        <v>Economic capital allocated</v>
      </c>
      <c r="B41" s="149">
        <v>425.66235999999998</v>
      </c>
      <c r="C41" s="84">
        <v>457.59321999999997</v>
      </c>
      <c r="D41" s="84">
        <v>470.81675654999998</v>
      </c>
      <c r="E41" s="150">
        <v>468.75154162000001</v>
      </c>
      <c r="F41" s="84">
        <v>488.0129</v>
      </c>
      <c r="G41" s="84">
        <v>455.02521000000002</v>
      </c>
      <c r="H41" s="84">
        <v>452.98775247999998</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10532.196</v>
      </c>
      <c r="C45" s="157">
        <v>11026.949999999999</v>
      </c>
      <c r="D45" s="157">
        <v>11658.323</v>
      </c>
      <c r="E45" s="157">
        <v>12019.917000000001</v>
      </c>
      <c r="F45" s="155">
        <v>13396.904</v>
      </c>
      <c r="G45" s="157">
        <v>13148.773000000001</v>
      </c>
      <c r="H45" s="157">
        <v>13089.163</v>
      </c>
    </row>
    <row r="46" spans="1:8">
      <c r="A46" s="49" t="str">
        <f>HLOOKUP(INDICE!$F$2,Nombres!$C$3:$E$853,121)</f>
        <v>Customer deposits under management (**)</v>
      </c>
      <c r="B46" s="155">
        <v>9204.7406256800004</v>
      </c>
      <c r="C46" s="157">
        <v>9244.2890503899998</v>
      </c>
      <c r="D46" s="157">
        <v>10030.573741349999</v>
      </c>
      <c r="E46" s="157">
        <v>10192.873578410001</v>
      </c>
      <c r="F46" s="155">
        <v>11642.38093453</v>
      </c>
      <c r="G46" s="157">
        <v>11728.564920479999</v>
      </c>
      <c r="H46" s="157">
        <v>11684.283363779999</v>
      </c>
    </row>
    <row r="47" spans="1:8">
      <c r="A47" s="49" t="str">
        <f>HLOOKUP(INDICE!$F$2,Nombres!$C$3:$E$853,122)</f>
        <v>Mutual funds</v>
      </c>
      <c r="B47" s="155">
        <v>1082.32021446</v>
      </c>
      <c r="C47" s="157">
        <v>1086.9410993900001</v>
      </c>
      <c r="D47" s="157">
        <v>1192.7892898</v>
      </c>
      <c r="E47" s="157">
        <v>1239.98400973</v>
      </c>
      <c r="F47" s="155">
        <v>1369.3128405299999</v>
      </c>
      <c r="G47" s="157">
        <v>1300.9553842099999</v>
      </c>
      <c r="H47" s="157">
        <v>1258.0059734399999</v>
      </c>
    </row>
    <row r="48" spans="1:8">
      <c r="A48" s="49" t="str">
        <f>HLOOKUP(INDICE!$F$2,Nombres!$C$3:$E$853,206)</f>
        <v>Pension funds</v>
      </c>
      <c r="B48" s="238">
        <v>0</v>
      </c>
      <c r="C48" s="239">
        <v>0</v>
      </c>
      <c r="D48" s="239">
        <v>0</v>
      </c>
      <c r="E48" s="239">
        <v>0</v>
      </c>
      <c r="F48" s="238">
        <v>0</v>
      </c>
      <c r="G48" s="239">
        <v>0</v>
      </c>
      <c r="H48" s="239">
        <v>0</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183.5733052256</v>
      </c>
      <c r="C56" s="83">
        <v>187.75681382159999</v>
      </c>
      <c r="D56" s="83">
        <v>189.5388894102</v>
      </c>
      <c r="E56" s="148">
        <v>194.0637374005</v>
      </c>
      <c r="F56" s="54">
        <v>186.18791193199999</v>
      </c>
      <c r="G56" s="54">
        <v>190.0150210683</v>
      </c>
      <c r="H56" s="54">
        <v>185.47125412970001</v>
      </c>
    </row>
    <row r="57" spans="1:8">
      <c r="A57" s="49" t="str">
        <f>HLOOKUP(INDICE!$F$2,Nombres!$C$3:$E$853,39)</f>
        <v>Net fees and commissions</v>
      </c>
      <c r="B57" s="149">
        <v>47.894597997999995</v>
      </c>
      <c r="C57" s="84">
        <v>51.150332729599995</v>
      </c>
      <c r="D57" s="84">
        <v>50.026658458499995</v>
      </c>
      <c r="E57" s="150">
        <v>54.489329695899997</v>
      </c>
      <c r="F57" s="73">
        <v>50.497478212299995</v>
      </c>
      <c r="G57" s="73">
        <v>52.906378307699995</v>
      </c>
      <c r="H57" s="73">
        <v>53.9672582201</v>
      </c>
    </row>
    <row r="58" spans="1:8">
      <c r="A58" s="49" t="str">
        <f>HLOOKUP(INDICE!$F$2,Nombres!$C$3:$E$853,40)</f>
        <v>Net trading income</v>
      </c>
      <c r="B58" s="149">
        <v>26.2091207189</v>
      </c>
      <c r="C58" s="84">
        <v>32.105647501999997</v>
      </c>
      <c r="D58" s="84">
        <v>32.011021524299998</v>
      </c>
      <c r="E58" s="150">
        <v>45.990813302500001</v>
      </c>
      <c r="F58" s="73">
        <v>41.718050795500005</v>
      </c>
      <c r="G58" s="73">
        <v>50.701487934799999</v>
      </c>
      <c r="H58" s="73">
        <v>37.919834419600001</v>
      </c>
    </row>
    <row r="59" spans="1:8" ht="17.25" customHeight="1">
      <c r="A59" s="49" t="str">
        <f>HLOOKUP(INDICE!$F$2,Nombres!$C$3:$E$853,95)</f>
        <v>Other income/expenses</v>
      </c>
      <c r="B59" s="149">
        <v>-4.8826436389000003</v>
      </c>
      <c r="C59" s="84">
        <v>-2.5352801593000001</v>
      </c>
      <c r="D59" s="84">
        <v>-4.2692712292000001</v>
      </c>
      <c r="E59" s="150">
        <v>-3.7686150659999997</v>
      </c>
      <c r="F59" s="73">
        <v>-5.6806521902</v>
      </c>
      <c r="G59" s="73">
        <v>-4.3136723610000001</v>
      </c>
      <c r="H59" s="73">
        <v>-4.8216744687000004</v>
      </c>
    </row>
    <row r="60" spans="1:8" ht="15.75" customHeight="1">
      <c r="A60" s="54" t="str">
        <f>HLOOKUP(INDICE!$F$2,Nombres!$C$3:$E$853,44)</f>
        <v>Gross income</v>
      </c>
      <c r="B60" s="147">
        <v>252.7943803037</v>
      </c>
      <c r="C60" s="83">
        <v>268.47751389389998</v>
      </c>
      <c r="D60" s="83">
        <v>267.30729816389999</v>
      </c>
      <c r="E60" s="148">
        <v>290.77526533280002</v>
      </c>
      <c r="F60" s="54">
        <v>272.7227887496</v>
      </c>
      <c r="G60" s="54">
        <v>289.30921494969999</v>
      </c>
      <c r="H60" s="54">
        <v>272.53667230069999</v>
      </c>
    </row>
    <row r="61" spans="1:8">
      <c r="A61" s="49" t="str">
        <f>HLOOKUP(INDICE!$F$2,Nombres!$C$3:$E$853,45)</f>
        <v>Operating expenses</v>
      </c>
      <c r="B61" s="149">
        <v>-94.098772242300001</v>
      </c>
      <c r="C61" s="84">
        <v>-92.395198712600006</v>
      </c>
      <c r="D61" s="84">
        <v>-98.462435528399993</v>
      </c>
      <c r="E61" s="150">
        <v>-92.206629845799995</v>
      </c>
      <c r="F61" s="73">
        <v>-99.153639838900006</v>
      </c>
      <c r="G61" s="73">
        <v>-99.9382476591</v>
      </c>
      <c r="H61" s="73">
        <v>-101.93090608209999</v>
      </c>
    </row>
    <row r="62" spans="1:8">
      <c r="A62" s="49" t="str">
        <f>HLOOKUP(INDICE!$F$2,Nombres!$C$3:$E$853,46)</f>
        <v xml:space="preserve">  Administration expenses</v>
      </c>
      <c r="B62" s="149">
        <v>-87.559242371000011</v>
      </c>
      <c r="C62" s="84">
        <v>-85.840596752400003</v>
      </c>
      <c r="D62" s="84">
        <v>-91.638078822300002</v>
      </c>
      <c r="E62" s="150">
        <v>-85.032195226200002</v>
      </c>
      <c r="F62" s="73">
        <v>-91.726837004499998</v>
      </c>
      <c r="G62" s="73">
        <v>-92.697939336399998</v>
      </c>
      <c r="H62" s="73">
        <v>-94.543017938899993</v>
      </c>
    </row>
    <row r="63" spans="1:8">
      <c r="A63" s="189" t="str">
        <f>HLOOKUP(INDICE!$F$2,Nombres!$C$3:$E$853,47)</f>
        <v xml:space="preserve">  Personnel expenses</v>
      </c>
      <c r="B63" s="149">
        <v>-48.6030940968</v>
      </c>
      <c r="C63" s="84">
        <v>-48.161348196600002</v>
      </c>
      <c r="D63" s="84">
        <v>-49.997750089500002</v>
      </c>
      <c r="E63" s="150">
        <v>-47.425668172100004</v>
      </c>
      <c r="F63" s="73">
        <v>-51.628145190600002</v>
      </c>
      <c r="G63" s="73">
        <v>-51.734883565800004</v>
      </c>
      <c r="H63" s="73">
        <v>-50.678971153600003</v>
      </c>
    </row>
    <row r="64" spans="1:8">
      <c r="A64" s="189" t="str">
        <f>HLOOKUP(INDICE!$F$2,Nombres!$C$3:$E$853,48)</f>
        <v xml:space="preserve">  General and administrative expenses</v>
      </c>
      <c r="B64" s="149">
        <v>-38.956148274100002</v>
      </c>
      <c r="C64" s="84">
        <v>-37.679248555900003</v>
      </c>
      <c r="D64" s="84">
        <v>-41.640328732699999</v>
      </c>
      <c r="E64" s="150">
        <v>-37.606527053999997</v>
      </c>
      <c r="F64" s="73">
        <v>-40.098691813900004</v>
      </c>
      <c r="G64" s="73">
        <v>-40.9630557706</v>
      </c>
      <c r="H64" s="73">
        <v>-43.864046785400006</v>
      </c>
    </row>
    <row r="65" spans="1:8" ht="13.5" customHeight="1">
      <c r="A65" s="49" t="str">
        <f>HLOOKUP(INDICE!$F$2,Nombres!$C$3:$E$853,49)</f>
        <v xml:space="preserve">  Depreciation and amortization</v>
      </c>
      <c r="B65" s="149">
        <v>-6.5395298713999992</v>
      </c>
      <c r="C65" s="84">
        <v>-6.5546019601999994</v>
      </c>
      <c r="D65" s="84">
        <v>-6.8243567061999997</v>
      </c>
      <c r="E65" s="150">
        <v>-7.1744346194999995</v>
      </c>
      <c r="F65" s="73">
        <v>-7.4268028342000001</v>
      </c>
      <c r="G65" s="73">
        <v>-7.2403083226999998</v>
      </c>
      <c r="H65" s="73">
        <v>-7.3878881430000005</v>
      </c>
    </row>
    <row r="66" spans="1:8" ht="14.25" customHeight="1">
      <c r="A66" s="54" t="str">
        <f>HLOOKUP(INDICE!$F$2,Nombres!$C$3:$E$853,50)</f>
        <v>Operating income</v>
      </c>
      <c r="B66" s="147">
        <v>158.69560806129999</v>
      </c>
      <c r="C66" s="83">
        <v>176.08231518119999</v>
      </c>
      <c r="D66" s="83">
        <v>168.84486263540001</v>
      </c>
      <c r="E66" s="148">
        <v>198.56863548699999</v>
      </c>
      <c r="F66" s="54">
        <v>173.56914891079998</v>
      </c>
      <c r="G66" s="54">
        <v>189.37096729070001</v>
      </c>
      <c r="H66" s="54">
        <v>170.6057662186</v>
      </c>
    </row>
    <row r="67" spans="1:8">
      <c r="A67" s="49" t="str">
        <f>HLOOKUP(INDICE!$F$2,Nombres!$C$3:$E$853,51)</f>
        <v>Impairment on financial assets (net)</v>
      </c>
      <c r="B67" s="149">
        <v>-39.310889747700003</v>
      </c>
      <c r="C67" s="84">
        <v>-40.506139108900001</v>
      </c>
      <c r="D67" s="84">
        <v>-34.461637986900001</v>
      </c>
      <c r="E67" s="150">
        <v>-40.207242742299997</v>
      </c>
      <c r="F67" s="73">
        <v>-37.743639674400001</v>
      </c>
      <c r="G67" s="73">
        <v>-53.929017070499995</v>
      </c>
      <c r="H67" s="73">
        <v>-44.422343725099999</v>
      </c>
    </row>
    <row r="68" spans="1:8" ht="16.5" customHeight="1">
      <c r="A68" s="49" t="str">
        <f>HLOOKUP(INDICE!$F$2,Nombres!$C$3:$E$853,160)</f>
        <v>Provisions (net) and other gains/losses</v>
      </c>
      <c r="B68" s="149">
        <v>-3.6218253506</v>
      </c>
      <c r="C68" s="84">
        <v>-1.4123549487</v>
      </c>
      <c r="D68" s="84">
        <v>6.7898700023000007</v>
      </c>
      <c r="E68" s="150">
        <v>-4.4904106473999992</v>
      </c>
      <c r="F68" s="73">
        <v>-2.7349464088000004</v>
      </c>
      <c r="G68" s="73">
        <v>-0.10729608230000021</v>
      </c>
      <c r="H68" s="73">
        <v>1.7782428610999998</v>
      </c>
    </row>
    <row r="69" spans="1:8" ht="12.75" customHeight="1">
      <c r="A69" s="54" t="str">
        <f>HLOOKUP(INDICE!$F$2,Nombres!$C$3:$E$853,54)</f>
        <v>Income before tax</v>
      </c>
      <c r="B69" s="147">
        <v>115.7628929629</v>
      </c>
      <c r="C69" s="83">
        <v>134.1638211236</v>
      </c>
      <c r="D69" s="83">
        <v>141.1730946509</v>
      </c>
      <c r="E69" s="148">
        <v>153.8709820974</v>
      </c>
      <c r="F69" s="54">
        <v>133.0905628276</v>
      </c>
      <c r="G69" s="54">
        <v>135.33465413779999</v>
      </c>
      <c r="H69" s="54">
        <v>127.96166535450001</v>
      </c>
    </row>
    <row r="70" spans="1:8" ht="13.5" customHeight="1">
      <c r="A70" s="49" t="str">
        <f>HLOOKUP(INDICE!$F$2,Nombres!$C$3:$E$853,55)</f>
        <v>Income tax</v>
      </c>
      <c r="B70" s="149">
        <v>-31.617899758499998</v>
      </c>
      <c r="C70" s="84">
        <v>-36.680048080700004</v>
      </c>
      <c r="D70" s="84">
        <v>-39.080680398200002</v>
      </c>
      <c r="E70" s="150">
        <v>-43.174096611499998</v>
      </c>
      <c r="F70" s="73">
        <v>-36.896163061700001</v>
      </c>
      <c r="G70" s="73">
        <v>-37.368103932099999</v>
      </c>
      <c r="H70" s="73">
        <v>-35.020427686300003</v>
      </c>
    </row>
    <row r="71" spans="1:8" ht="12.75" customHeight="1">
      <c r="A71" s="54" t="str">
        <f>HLOOKUP(INDICE!$F$2,Nombres!$C$3:$E$853,56)</f>
        <v>Net income</v>
      </c>
      <c r="B71" s="147">
        <v>84.144993204499997</v>
      </c>
      <c r="C71" s="83">
        <v>97.483773043100001</v>
      </c>
      <c r="D71" s="83">
        <v>102.0924142528</v>
      </c>
      <c r="E71" s="148">
        <v>110.6968854859</v>
      </c>
      <c r="F71" s="54">
        <v>96.194399765899988</v>
      </c>
      <c r="G71" s="54">
        <v>97.966550205900006</v>
      </c>
      <c r="H71" s="54">
        <v>92.941237668200003</v>
      </c>
    </row>
    <row r="72" spans="1:8" ht="12.75" customHeight="1">
      <c r="A72" s="49" t="str">
        <f>HLOOKUP(INDICE!$F$2,Nombres!$C$3:$E$853,57)</f>
        <v>Non-controlling interests</v>
      </c>
      <c r="B72" s="149">
        <v>-45.057527976999999</v>
      </c>
      <c r="C72" s="84">
        <v>-52.211835574799991</v>
      </c>
      <c r="D72" s="84">
        <v>-54.853138337699995</v>
      </c>
      <c r="E72" s="150">
        <v>-59.9155030135</v>
      </c>
      <c r="F72" s="73">
        <v>-51.217829256800002</v>
      </c>
      <c r="G72" s="73">
        <v>-52.335111210199997</v>
      </c>
      <c r="H72" s="73">
        <v>-50.914127913100003</v>
      </c>
    </row>
    <row r="73" spans="1:8" ht="15" customHeight="1">
      <c r="A73" s="54" t="str">
        <f>HLOOKUP(INDICE!$F$2,Nombres!$C$3:$E$853,58)</f>
        <v>Net attributable profit</v>
      </c>
      <c r="B73" s="147">
        <v>39.087465227399996</v>
      </c>
      <c r="C73" s="83">
        <v>45.271937468300003</v>
      </c>
      <c r="D73" s="83">
        <v>47.239275915</v>
      </c>
      <c r="E73" s="148">
        <v>50.781382472400004</v>
      </c>
      <c r="F73" s="54">
        <v>44.976570509200002</v>
      </c>
      <c r="G73" s="54">
        <v>45.631438995800004</v>
      </c>
      <c r="H73" s="54">
        <v>42.0271097551</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3138.5638908807</v>
      </c>
      <c r="C78" s="84">
        <v>2705.7785693204</v>
      </c>
      <c r="D78" s="84">
        <v>3381.7840118173999</v>
      </c>
      <c r="E78" s="150">
        <v>3869.3110876739001</v>
      </c>
      <c r="F78" s="158">
        <v>4141.9600529132003</v>
      </c>
      <c r="G78" s="84">
        <v>5152.5010243220004</v>
      </c>
      <c r="H78" s="84">
        <v>5413.7780000000002</v>
      </c>
    </row>
    <row r="79" spans="1:8">
      <c r="A79" s="49" t="str">
        <f>HLOOKUP(INDICE!$F$2,Nombres!$C$3:$E$853,101)</f>
        <v>Financial assets</v>
      </c>
      <c r="B79" s="149">
        <v>1275.4054779584999</v>
      </c>
      <c r="C79" s="84">
        <v>1094.7681849763001</v>
      </c>
      <c r="D79" s="84">
        <v>1822.4272749301001</v>
      </c>
      <c r="E79" s="150">
        <v>1195.9632839489</v>
      </c>
      <c r="F79" s="158">
        <v>1580.7086113943001</v>
      </c>
      <c r="G79" s="84">
        <v>1274.2445673135001</v>
      </c>
      <c r="H79" s="84">
        <v>2057.7339999999999</v>
      </c>
    </row>
    <row r="80" spans="1:8">
      <c r="A80" s="49" t="str">
        <f>HLOOKUP(INDICE!$F$2,Nombres!$C$3:$E$853,102)</f>
        <v>Loans and receivables</v>
      </c>
      <c r="B80" s="149">
        <v>11164.434332716401</v>
      </c>
      <c r="C80" s="84">
        <v>11493.210664775301</v>
      </c>
      <c r="D80" s="84">
        <v>11602.5651958173</v>
      </c>
      <c r="E80" s="150">
        <v>11899.5714787493</v>
      </c>
      <c r="F80" s="158">
        <v>12389.779683320299</v>
      </c>
      <c r="G80" s="84">
        <v>12953.2874358555</v>
      </c>
      <c r="H80" s="84">
        <v>12978.004000000001</v>
      </c>
    </row>
    <row r="81" spans="1:8">
      <c r="A81" s="49" t="str">
        <f>HLOOKUP(INDICE!$F$2,Nombres!$C$3:$E$853,103)</f>
        <v xml:space="preserve">  . Loans and advances to customers</v>
      </c>
      <c r="B81" s="149">
        <v>10839.6134363458</v>
      </c>
      <c r="C81" s="84">
        <v>11181.1304570258</v>
      </c>
      <c r="D81" s="84">
        <v>11272.7351861393</v>
      </c>
      <c r="E81" s="150">
        <v>11562.3499685188</v>
      </c>
      <c r="F81" s="158">
        <v>11862.4814284572</v>
      </c>
      <c r="G81" s="84">
        <v>12427.2003120715</v>
      </c>
      <c r="H81" s="84">
        <v>12543.67</v>
      </c>
    </row>
    <row r="82" spans="1:8">
      <c r="A82" s="49" t="str">
        <f>HLOOKUP(INDICE!$F$2,Nombres!$C$3:$E$853,104)</f>
        <v xml:space="preserve">  . Loans and advances to credit institutions and other</v>
      </c>
      <c r="B82" s="149">
        <v>324.82089637069998</v>
      </c>
      <c r="C82" s="84">
        <v>312.08020774940002</v>
      </c>
      <c r="D82" s="84">
        <v>329.8300096781</v>
      </c>
      <c r="E82" s="150">
        <v>337.22151023049997</v>
      </c>
      <c r="F82" s="158">
        <v>527.29825486319999</v>
      </c>
      <c r="G82" s="84">
        <v>526.08712378409996</v>
      </c>
      <c r="H82" s="84">
        <v>434.334</v>
      </c>
    </row>
    <row r="83" spans="1:8">
      <c r="A83" s="49" t="str">
        <f>HLOOKUP(INDICE!$F$2,Nombres!$C$3:$E$853,106)</f>
        <v>Tangible assets</v>
      </c>
      <c r="B83" s="149">
        <v>228.3319861704</v>
      </c>
      <c r="C83" s="84">
        <v>229.40159480470001</v>
      </c>
      <c r="D83" s="84">
        <v>231.1752770258</v>
      </c>
      <c r="E83" s="150">
        <v>238.3330184731</v>
      </c>
      <c r="F83" s="158">
        <v>237.6133883791</v>
      </c>
      <c r="G83" s="84">
        <v>232.95781095230001</v>
      </c>
      <c r="H83" s="84">
        <v>234.69900000000001</v>
      </c>
    </row>
    <row r="84" spans="1:8">
      <c r="A84" s="49" t="str">
        <f>HLOOKUP(INDICE!$F$2,Nombres!$C$3:$E$853,107)</f>
        <v>Other assets</v>
      </c>
      <c r="B84" s="149">
        <v>485.97610416560133</v>
      </c>
      <c r="C84" s="84">
        <v>390.10134369379898</v>
      </c>
      <c r="D84" s="84">
        <v>415.23405287300511</v>
      </c>
      <c r="E84" s="150">
        <v>423.0488362309959</v>
      </c>
      <c r="F84" s="158">
        <v>517.81979087369791</v>
      </c>
      <c r="G84" s="84">
        <v>321.93414098759843</v>
      </c>
      <c r="H84" s="84">
        <v>633.34500000000003</v>
      </c>
    </row>
    <row r="85" spans="1:8">
      <c r="A85" s="54" t="str">
        <f>HLOOKUP(INDICE!$F$2,Nombres!$C$3:$E$853,108)</f>
        <v>Total assets / Liabilities and equity</v>
      </c>
      <c r="B85" s="147">
        <v>16292.711791891601</v>
      </c>
      <c r="C85" s="83">
        <v>15913.2603575703</v>
      </c>
      <c r="D85" s="83">
        <v>17453.185812463598</v>
      </c>
      <c r="E85" s="148">
        <v>17626.227705076199</v>
      </c>
      <c r="F85" s="147">
        <v>18867.881526880497</v>
      </c>
      <c r="G85" s="83">
        <v>19934.9249794309</v>
      </c>
      <c r="H85" s="83">
        <v>21317.56</v>
      </c>
    </row>
    <row r="86" spans="1:8">
      <c r="A86" s="49" t="str">
        <f>HLOOKUP(INDICE!$F$2,Nombres!$C$3:$E$853,109)</f>
        <v>Deposits from central banks and credit institutions</v>
      </c>
      <c r="B86" s="149">
        <v>1878.4673435648999</v>
      </c>
      <c r="C86" s="84">
        <v>1814.7713778652001</v>
      </c>
      <c r="D86" s="84">
        <v>2510.3695425107999</v>
      </c>
      <c r="E86" s="150">
        <v>2416.6717562610002</v>
      </c>
      <c r="F86" s="158">
        <v>3056.5059943222</v>
      </c>
      <c r="G86" s="84">
        <v>3415.6095468142998</v>
      </c>
      <c r="H86" s="84">
        <v>4421.1469999999999</v>
      </c>
    </row>
    <row r="87" spans="1:8">
      <c r="A87" s="49" t="str">
        <f>HLOOKUP(INDICE!$F$2,Nombres!$C$3:$E$853,110)</f>
        <v>Deposits from customers</v>
      </c>
      <c r="B87" s="149">
        <v>10182.8354969298</v>
      </c>
      <c r="C87" s="84">
        <v>10136.628811885301</v>
      </c>
      <c r="D87" s="84">
        <v>10458.441449673999</v>
      </c>
      <c r="E87" s="150">
        <v>10552.178673307501</v>
      </c>
      <c r="F87" s="158">
        <v>11044.1411185749</v>
      </c>
      <c r="G87" s="84">
        <v>11845.4869305868</v>
      </c>
      <c r="H87" s="84">
        <v>11935.519</v>
      </c>
    </row>
    <row r="88" spans="1:8">
      <c r="A88" s="49" t="str">
        <f>HLOOKUP(INDICE!$F$2,Nombres!$C$3:$E$853,111)</f>
        <v>Debt certificates</v>
      </c>
      <c r="B88" s="149">
        <v>1539.1217084937</v>
      </c>
      <c r="C88" s="84">
        <v>1585.408930632</v>
      </c>
      <c r="D88" s="84">
        <v>1593.4537248951999</v>
      </c>
      <c r="E88" s="150">
        <v>1610.0066952684001</v>
      </c>
      <c r="F88" s="158">
        <v>1642.3451253190001</v>
      </c>
      <c r="G88" s="84">
        <v>1659.3315333564999</v>
      </c>
      <c r="H88" s="84">
        <v>1656.1120000000001</v>
      </c>
    </row>
    <row r="89" spans="1:8">
      <c r="A89" s="49" t="str">
        <f>HLOOKUP(INDICE!$F$2,Nombres!$C$3:$E$853,112)</f>
        <v>Subordinated liabilities</v>
      </c>
      <c r="B89" s="149">
        <v>395.91810117469998</v>
      </c>
      <c r="C89" s="84">
        <v>391.97722703340003</v>
      </c>
      <c r="D89" s="84">
        <v>645.4270304314</v>
      </c>
      <c r="E89" s="150">
        <v>663.66645332220003</v>
      </c>
      <c r="F89" s="158">
        <v>668.68253843540003</v>
      </c>
      <c r="G89" s="84">
        <v>658.03425126299999</v>
      </c>
      <c r="H89" s="84">
        <v>667.49900000000002</v>
      </c>
    </row>
    <row r="90" spans="1:8">
      <c r="A90" s="49" t="str">
        <f>HLOOKUP(INDICE!$F$2,Nombres!$C$3:$E$853,114)</f>
        <v xml:space="preserve">Financial liabilities held for trading </v>
      </c>
      <c r="B90" s="149">
        <v>120.8493494808</v>
      </c>
      <c r="C90" s="84">
        <v>89.007823016399996</v>
      </c>
      <c r="D90" s="84">
        <v>151.74956579639999</v>
      </c>
      <c r="E90" s="150">
        <v>195.95280934530001</v>
      </c>
      <c r="F90" s="158">
        <v>269.69222202229997</v>
      </c>
      <c r="G90" s="84">
        <v>260.24011915839998</v>
      </c>
      <c r="H90" s="84">
        <v>301.01499999999999</v>
      </c>
    </row>
    <row r="91" spans="1:8">
      <c r="A91" s="49" t="str">
        <f>HLOOKUP(INDICE!$F$2,Nombres!$C$3:$E$853,115)</f>
        <v>Other liabilities</v>
      </c>
      <c r="B91" s="149">
        <v>1718.2581582235</v>
      </c>
      <c r="C91" s="84">
        <v>1411.3131251556001</v>
      </c>
      <c r="D91" s="84">
        <v>1618.4533663393001</v>
      </c>
      <c r="E91" s="150">
        <v>1717.6664060051</v>
      </c>
      <c r="F91" s="158">
        <v>1735.3391107518</v>
      </c>
      <c r="G91" s="84">
        <v>1647.6863399593997</v>
      </c>
      <c r="H91" s="84">
        <v>1883.2802475200037</v>
      </c>
    </row>
    <row r="92" spans="1:8" ht="12" customHeight="1">
      <c r="A92" s="49" t="str">
        <f>HLOOKUP(INDICE!$F$2,Nombres!$C$3:$E$853,116)</f>
        <v>Economic capital allocated</v>
      </c>
      <c r="B92" s="149">
        <v>457.26163402430001</v>
      </c>
      <c r="C92" s="84">
        <v>484.1530619824</v>
      </c>
      <c r="D92" s="84">
        <v>475.29113281650001</v>
      </c>
      <c r="E92" s="150">
        <v>470.08491156669999</v>
      </c>
      <c r="F92" s="158">
        <v>451.17541745469998</v>
      </c>
      <c r="G92" s="84">
        <v>448.53625829240002</v>
      </c>
      <c r="H92" s="84">
        <v>452.98775247999998</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11314.0592295362</v>
      </c>
      <c r="C97" s="157">
        <v>11666.9814444075</v>
      </c>
      <c r="D97" s="157">
        <v>11769.117110475599</v>
      </c>
      <c r="E97" s="157">
        <v>12054.107812544</v>
      </c>
      <c r="F97" s="155">
        <v>12385.6434016407</v>
      </c>
      <c r="G97" s="157">
        <v>12961.2630529996</v>
      </c>
      <c r="H97" s="157">
        <v>13089.163</v>
      </c>
    </row>
    <row r="98" spans="1:8">
      <c r="A98" s="49" t="str">
        <f>HLOOKUP(INDICE!$F$2,Nombres!$C$3:$E$853,121)</f>
        <v>Customer deposits under management (**)</v>
      </c>
      <c r="B98" s="155">
        <v>9888.0594921953998</v>
      </c>
      <c r="C98" s="157">
        <v>9780.8504452853995</v>
      </c>
      <c r="D98" s="157">
        <v>10125.898643159</v>
      </c>
      <c r="E98" s="157">
        <v>10221.8673418282</v>
      </c>
      <c r="F98" s="155">
        <v>10763.559894222501</v>
      </c>
      <c r="G98" s="157">
        <v>11561.308052738001</v>
      </c>
      <c r="H98" s="157">
        <v>11684.283363779999</v>
      </c>
    </row>
    <row r="99" spans="1:8">
      <c r="A99" s="49" t="str">
        <f>HLOOKUP(INDICE!$F$2,Nombres!$C$3:$E$853,122)</f>
        <v>Mutual funds</v>
      </c>
      <c r="B99" s="155">
        <v>1162.6668371653</v>
      </c>
      <c r="C99" s="157">
        <v>1150.0298484846001</v>
      </c>
      <c r="D99" s="157">
        <v>1204.1248848378</v>
      </c>
      <c r="E99" s="157">
        <v>1243.5111606109001</v>
      </c>
      <c r="F99" s="155">
        <v>1265.9507411632001</v>
      </c>
      <c r="G99" s="157">
        <v>1282.4029249696</v>
      </c>
      <c r="H99" s="157">
        <v>1258.0059734399999</v>
      </c>
    </row>
    <row r="100" spans="1:8">
      <c r="A100" s="49" t="str">
        <f>HLOOKUP(INDICE!$F$2,Nombres!$C$3:$E$853,206)</f>
        <v>Pension funds</v>
      </c>
      <c r="B100" s="238">
        <v>0</v>
      </c>
      <c r="C100" s="239">
        <v>0</v>
      </c>
      <c r="D100" s="239">
        <v>0</v>
      </c>
      <c r="E100" s="239">
        <v>0</v>
      </c>
      <c r="F100" s="238">
        <v>0</v>
      </c>
      <c r="G100" s="239">
        <v>0</v>
      </c>
      <c r="H100" s="239">
        <v>0</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H105"/>
  <sheetViews>
    <sheetView showGridLines="0" workbookViewId="0"/>
  </sheetViews>
  <sheetFormatPr baseColWidth="10" defaultColWidth="9.140625" defaultRowHeight="15"/>
  <cols>
    <col min="1" max="1" width="45.710937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HLOOKUP(INDICE!$F$2,Nombres!$C$3:$E$853,279)</f>
        <v>Real-estate activity in Spain</v>
      </c>
    </row>
    <row r="2" spans="1:8" ht="18">
      <c r="A2" s="144" t="str">
        <f>HLOOKUP(INDICE!$F$2,Nombres!$C$3:$E$853,93)</f>
        <v xml:space="preserve">Income statement  </v>
      </c>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-7.3170118699999982</v>
      </c>
      <c r="C6" s="83">
        <v>-14.30579127</v>
      </c>
      <c r="D6" s="83">
        <v>-8.7484138399999996</v>
      </c>
      <c r="E6" s="148">
        <v>-8.0659005099999987</v>
      </c>
      <c r="F6" s="83">
        <v>-9.4670519600000009</v>
      </c>
      <c r="G6" s="83">
        <v>-4.5528338999999995</v>
      </c>
      <c r="H6" s="83">
        <v>40.383564850000006</v>
      </c>
    </row>
    <row r="7" spans="1:8">
      <c r="A7" s="49" t="str">
        <f>HLOOKUP(INDICE!$F$2,Nombres!$C$3:$E$853,39)</f>
        <v>Net fees and commissions</v>
      </c>
      <c r="B7" s="149">
        <v>1.4505388099999998</v>
      </c>
      <c r="C7" s="84">
        <v>-0.77394092000000003</v>
      </c>
      <c r="D7" s="84">
        <v>2.8978965200000002</v>
      </c>
      <c r="E7" s="150">
        <v>1.06139936</v>
      </c>
      <c r="F7" s="84">
        <v>1.23537381</v>
      </c>
      <c r="G7" s="84">
        <v>-0.16756781000000004</v>
      </c>
      <c r="H7" s="84">
        <v>1.08181087</v>
      </c>
    </row>
    <row r="8" spans="1:8">
      <c r="A8" s="49" t="str">
        <f>HLOOKUP(INDICE!$F$2,Nombres!$C$3:$E$853,40)</f>
        <v>Net trading income</v>
      </c>
      <c r="B8" s="149">
        <v>4.2207629999999996E-2</v>
      </c>
      <c r="C8" s="84">
        <v>1.6830000000000022E-3</v>
      </c>
      <c r="D8" s="84">
        <v>1.93294242</v>
      </c>
      <c r="E8" s="150">
        <v>-3.6683594899999994</v>
      </c>
      <c r="F8" s="84">
        <v>0.71921942999999999</v>
      </c>
      <c r="G8" s="84">
        <v>1.0527227300000002</v>
      </c>
      <c r="H8" s="84">
        <v>2.1554162300000002</v>
      </c>
    </row>
    <row r="9" spans="1:8">
      <c r="A9" s="49" t="str">
        <f>HLOOKUP(INDICE!$F$2,Nombres!$C$3:$E$853,95)</f>
        <v>Other income/expenses</v>
      </c>
      <c r="B9" s="149">
        <v>-52.125888740000001</v>
      </c>
      <c r="C9" s="84">
        <v>-45.22224293</v>
      </c>
      <c r="D9" s="84">
        <v>-32.213872420000001</v>
      </c>
      <c r="E9" s="150">
        <v>-54.77996538</v>
      </c>
      <c r="F9" s="84">
        <v>-38.686077610000005</v>
      </c>
      <c r="G9" s="84">
        <v>-6.1533183100000022</v>
      </c>
      <c r="H9" s="84">
        <v>-9.5979532200000008</v>
      </c>
    </row>
    <row r="10" spans="1:8">
      <c r="A10" s="54" t="str">
        <f>HLOOKUP(INDICE!$F$2,Nombres!$C$3:$E$853,44)</f>
        <v>Gross income</v>
      </c>
      <c r="B10" s="147">
        <v>-57.950154169999998</v>
      </c>
      <c r="C10" s="83">
        <v>-60.300292120000002</v>
      </c>
      <c r="D10" s="83">
        <v>-36.131447319999999</v>
      </c>
      <c r="E10" s="148">
        <v>-65.452826020000003</v>
      </c>
      <c r="F10" s="83">
        <v>-46.198536330000003</v>
      </c>
      <c r="G10" s="83">
        <v>-9.8209972899999993</v>
      </c>
      <c r="H10" s="83">
        <v>34.022838730000004</v>
      </c>
    </row>
    <row r="11" spans="1:8">
      <c r="A11" s="49" t="str">
        <f>HLOOKUP(INDICE!$F$2,Nombres!$C$3:$E$853,45)</f>
        <v>Operating expenses</v>
      </c>
      <c r="B11" s="149">
        <v>-36.109033910000001</v>
      </c>
      <c r="C11" s="84">
        <v>-39.085115189999996</v>
      </c>
      <c r="D11" s="84">
        <v>-40.168763769999998</v>
      </c>
      <c r="E11" s="150">
        <v>-37.633671470000003</v>
      </c>
      <c r="F11" s="84">
        <v>-32.50525742</v>
      </c>
      <c r="G11" s="84">
        <v>-36.526142460000003</v>
      </c>
      <c r="H11" s="84">
        <v>-31.456670360000004</v>
      </c>
    </row>
    <row r="12" spans="1:8">
      <c r="A12" s="49" t="str">
        <f>HLOOKUP(INDICE!$F$2,Nombres!$C$3:$E$853,46)</f>
        <v xml:space="preserve">  Administration expenses</v>
      </c>
      <c r="B12" s="149">
        <v>-30.716251619999998</v>
      </c>
      <c r="C12" s="84">
        <v>-32.915291490000001</v>
      </c>
      <c r="D12" s="84">
        <v>-33.653925690000001</v>
      </c>
      <c r="E12" s="150">
        <v>-32.668377989999996</v>
      </c>
      <c r="F12" s="84">
        <v>-27.339490919999999</v>
      </c>
      <c r="G12" s="84">
        <v>-29.8423409</v>
      </c>
      <c r="H12" s="84">
        <v>-24.157323420000001</v>
      </c>
    </row>
    <row r="13" spans="1:8">
      <c r="A13" s="88" t="str">
        <f>HLOOKUP(INDICE!$F$2,Nombres!$C$3:$E$853,47)</f>
        <v xml:space="preserve">  Personnel expenses</v>
      </c>
      <c r="B13" s="149">
        <v>-18.398556129999999</v>
      </c>
      <c r="C13" s="84">
        <v>-21.452683929999999</v>
      </c>
      <c r="D13" s="84">
        <v>-20.84773899</v>
      </c>
      <c r="E13" s="150">
        <v>-20.295229470000002</v>
      </c>
      <c r="F13" s="84">
        <v>-18.34481967</v>
      </c>
      <c r="G13" s="84">
        <v>-18.05342469</v>
      </c>
      <c r="H13" s="84">
        <v>-12.46387264</v>
      </c>
    </row>
    <row r="14" spans="1:8">
      <c r="A14" s="88" t="str">
        <f>HLOOKUP(INDICE!$F$2,Nombres!$C$3:$E$853,48)</f>
        <v xml:space="preserve">  General and administrative expenses</v>
      </c>
      <c r="B14" s="149">
        <v>-12.31769549</v>
      </c>
      <c r="C14" s="84">
        <v>-11.46260756</v>
      </c>
      <c r="D14" s="84">
        <v>-12.806186700000001</v>
      </c>
      <c r="E14" s="150">
        <v>-12.373148520000001</v>
      </c>
      <c r="F14" s="84">
        <v>-8.9946712499999997</v>
      </c>
      <c r="G14" s="84">
        <v>-11.78891621</v>
      </c>
      <c r="H14" s="84">
        <v>-11.693450779999999</v>
      </c>
    </row>
    <row r="15" spans="1:8" ht="13.5" customHeight="1">
      <c r="A15" s="49" t="str">
        <f>HLOOKUP(INDICE!$F$2,Nombres!$C$3:$E$853,49)</f>
        <v xml:space="preserve">  Depreciation and amortization</v>
      </c>
      <c r="B15" s="149">
        <v>-5.3927822899999995</v>
      </c>
      <c r="C15" s="84">
        <v>-6.1698236999999994</v>
      </c>
      <c r="D15" s="84">
        <v>-6.5148380800000005</v>
      </c>
      <c r="E15" s="150">
        <v>-4.9652934799999997</v>
      </c>
      <c r="F15" s="84">
        <v>-5.1657665000000001</v>
      </c>
      <c r="G15" s="84">
        <v>-6.68380156</v>
      </c>
      <c r="H15" s="84">
        <v>-7.2993469400000004</v>
      </c>
    </row>
    <row r="16" spans="1:8" ht="12.75" customHeight="1">
      <c r="A16" s="54" t="str">
        <f>HLOOKUP(INDICE!$F$2,Nombres!$C$3:$E$853,50)</f>
        <v>Operating income</v>
      </c>
      <c r="B16" s="147">
        <v>-94.059188079999998</v>
      </c>
      <c r="C16" s="83">
        <v>-99.385407310000005</v>
      </c>
      <c r="D16" s="83">
        <v>-76.300211090000005</v>
      </c>
      <c r="E16" s="148">
        <v>-103.08649749</v>
      </c>
      <c r="F16" s="83">
        <v>-78.703793750000003</v>
      </c>
      <c r="G16" s="83">
        <v>-46.347139749999997</v>
      </c>
      <c r="H16" s="83">
        <v>2.5661683699999962</v>
      </c>
    </row>
    <row r="17" spans="1:8" ht="13.5" customHeight="1">
      <c r="A17" s="49" t="str">
        <f>HLOOKUP(INDICE!$F$2,Nombres!$C$3:$E$853,51)</f>
        <v>Impairment on financial assets (net)</v>
      </c>
      <c r="B17" s="149">
        <v>-75.82084608000001</v>
      </c>
      <c r="C17" s="84">
        <v>-50.205105180000004</v>
      </c>
      <c r="D17" s="84">
        <v>-92.178420950000003</v>
      </c>
      <c r="E17" s="150">
        <v>-79.28412904999999</v>
      </c>
      <c r="F17" s="84">
        <v>-57.330779899999996</v>
      </c>
      <c r="G17" s="84">
        <v>-58.472046759999998</v>
      </c>
      <c r="H17" s="84">
        <v>-63.040709339999992</v>
      </c>
    </row>
    <row r="18" spans="1:8" ht="13.5" customHeight="1">
      <c r="A18" s="49" t="str">
        <f>HLOOKUP(INDICE!$F$2,Nombres!$C$3:$E$853,160)</f>
        <v>Provisions (net) and other gains/losses</v>
      </c>
      <c r="B18" s="149">
        <v>-183.19216410999999</v>
      </c>
      <c r="C18" s="84">
        <v>-158.11883839000001</v>
      </c>
      <c r="D18" s="84">
        <v>-120.60086228</v>
      </c>
      <c r="E18" s="150">
        <v>-154.37542243000001</v>
      </c>
      <c r="F18" s="84">
        <v>-84.720380349999999</v>
      </c>
      <c r="G18" s="84">
        <v>-111.38776024000001</v>
      </c>
      <c r="H18" s="84">
        <v>-98.382057809999992</v>
      </c>
    </row>
    <row r="19" spans="1:8" ht="12.75" customHeight="1">
      <c r="A19" s="54" t="str">
        <f>HLOOKUP(INDICE!$F$2,Nombres!$C$3:$E$853,54)</f>
        <v>Income before tax</v>
      </c>
      <c r="B19" s="147">
        <v>-353.07219827000006</v>
      </c>
      <c r="C19" s="83">
        <v>-307.70935087999999</v>
      </c>
      <c r="D19" s="83">
        <v>-289.07949431999998</v>
      </c>
      <c r="E19" s="148">
        <v>-336.74604897</v>
      </c>
      <c r="F19" s="83">
        <v>-220.754954</v>
      </c>
      <c r="G19" s="83">
        <v>-216.20694675000001</v>
      </c>
      <c r="H19" s="83">
        <v>-158.85659877999998</v>
      </c>
    </row>
    <row r="20" spans="1:8" ht="13.5" customHeight="1">
      <c r="A20" s="49" t="str">
        <f>HLOOKUP(INDICE!$F$2,Nombres!$C$3:$E$853,55)</f>
        <v>Income tax</v>
      </c>
      <c r="B20" s="149">
        <v>106.60805947</v>
      </c>
      <c r="C20" s="84">
        <v>88.162953290000004</v>
      </c>
      <c r="D20" s="84">
        <v>117.77444834000001</v>
      </c>
      <c r="E20" s="150">
        <v>69.913561759999993</v>
      </c>
      <c r="F20" s="84">
        <v>67.438686180000005</v>
      </c>
      <c r="G20" s="84">
        <v>68.970384060000001</v>
      </c>
      <c r="H20" s="84">
        <v>52.903279509999997</v>
      </c>
    </row>
    <row r="21" spans="1:8" ht="13.5" customHeight="1">
      <c r="A21" s="54" t="str">
        <f>HLOOKUP(INDICE!$F$2,Nombres!$C$3:$E$853,56)</f>
        <v>Net income</v>
      </c>
      <c r="B21" s="147">
        <v>-246.4641388</v>
      </c>
      <c r="C21" s="83">
        <v>-219.54639759000003</v>
      </c>
      <c r="D21" s="83">
        <v>-171.30504598000002</v>
      </c>
      <c r="E21" s="148">
        <v>-266.83248721000001</v>
      </c>
      <c r="F21" s="83">
        <v>-153.31626782000001</v>
      </c>
      <c r="G21" s="83">
        <v>-147.23656269</v>
      </c>
      <c r="H21" s="83">
        <v>-105.95331926999999</v>
      </c>
    </row>
    <row r="22" spans="1:8" ht="12" customHeight="1">
      <c r="A22" s="49" t="str">
        <f>HLOOKUP(INDICE!$F$2,Nombres!$C$3:$E$853,57)</f>
        <v>Non-controlling interests</v>
      </c>
      <c r="B22" s="149">
        <v>1.427</v>
      </c>
      <c r="C22" s="84">
        <v>-0.5</v>
      </c>
      <c r="D22" s="84">
        <v>0.40799999999999997</v>
      </c>
      <c r="E22" s="150">
        <v>1.4209999999999998</v>
      </c>
      <c r="F22" s="84">
        <v>-0.50800000000000001</v>
      </c>
      <c r="G22" s="84">
        <v>0.80400000000000016</v>
      </c>
      <c r="H22" s="84">
        <v>-1.0080000000000002</v>
      </c>
    </row>
    <row r="23" spans="1:8" ht="14.25" customHeight="1">
      <c r="A23" s="54" t="str">
        <f>HLOOKUP(INDICE!$F$2,Nombres!$C$3:$E$853,58)</f>
        <v>Net attributable profit</v>
      </c>
      <c r="B23" s="147">
        <v>-245.03713879999998</v>
      </c>
      <c r="C23" s="83">
        <v>-220.04639759000003</v>
      </c>
      <c r="D23" s="83">
        <v>-170.89704597999997</v>
      </c>
      <c r="E23" s="148">
        <v>-265.41148720999996</v>
      </c>
      <c r="F23" s="83">
        <v>-153.82426782000002</v>
      </c>
      <c r="G23" s="83">
        <v>-146.43256269</v>
      </c>
      <c r="H23" s="83">
        <v>-106.96131926999999</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5.1004065000000001</v>
      </c>
      <c r="C27" s="84">
        <v>5.5763284999999998</v>
      </c>
      <c r="D27" s="84">
        <v>5.52900262</v>
      </c>
      <c r="E27" s="150">
        <v>5.9799869900000004</v>
      </c>
      <c r="F27" s="84">
        <v>6.0896976199999999</v>
      </c>
      <c r="G27" s="84">
        <v>6.8096796199999998</v>
      </c>
      <c r="H27" s="84">
        <v>6.5888989999999996</v>
      </c>
    </row>
    <row r="28" spans="1:8">
      <c r="A28" s="49" t="str">
        <f>HLOOKUP(INDICE!$F$2,Nombres!$C$3:$E$853,101)</f>
        <v>Financial assets</v>
      </c>
      <c r="B28" s="149">
        <v>602.86160031999998</v>
      </c>
      <c r="C28" s="84">
        <v>373.42798882</v>
      </c>
      <c r="D28" s="84">
        <v>379.75575856</v>
      </c>
      <c r="E28" s="150">
        <v>345.86104270999999</v>
      </c>
      <c r="F28" s="84">
        <v>345.84389070999998</v>
      </c>
      <c r="G28" s="84">
        <v>555.35901471</v>
      </c>
      <c r="H28" s="84">
        <v>535.41224251000006</v>
      </c>
    </row>
    <row r="29" spans="1:8">
      <c r="A29" s="49" t="str">
        <f>HLOOKUP(INDICE!$F$2,Nombres!$C$3:$E$853,102)</f>
        <v>Loans and receivables</v>
      </c>
      <c r="B29" s="149">
        <v>10067.15445799</v>
      </c>
      <c r="C29" s="84">
        <v>9711.4264571200001</v>
      </c>
      <c r="D29" s="84">
        <v>9364.6337533799997</v>
      </c>
      <c r="E29" s="150">
        <v>8813.8633596300006</v>
      </c>
      <c r="F29" s="84">
        <v>8776.6093235799999</v>
      </c>
      <c r="G29" s="84">
        <v>8531.5996163700001</v>
      </c>
      <c r="H29" s="84">
        <v>8336.6026739999998</v>
      </c>
    </row>
    <row r="30" spans="1:8">
      <c r="A30" s="49" t="str">
        <f>HLOOKUP(INDICE!$F$2,Nombres!$C$3:$E$853,103)</f>
        <v xml:space="preserve">  . Loans and advances to customers</v>
      </c>
      <c r="B30" s="149">
        <v>10067.15445799</v>
      </c>
      <c r="C30" s="84">
        <v>9711.4264571200001</v>
      </c>
      <c r="D30" s="84">
        <v>9364.6337533799997</v>
      </c>
      <c r="E30" s="150">
        <v>8813.8633596300006</v>
      </c>
      <c r="F30" s="84">
        <v>8776.6093235799999</v>
      </c>
      <c r="G30" s="84">
        <v>8531.5996163700001</v>
      </c>
      <c r="H30" s="84">
        <v>8336.6026739999998</v>
      </c>
    </row>
    <row r="31" spans="1:8">
      <c r="A31" s="49" t="str">
        <f>HLOOKUP(INDICE!$F$2,Nombres!$C$3:$E$853,104)</f>
        <v xml:space="preserve">  . Loans and advances to credit institutions and other</v>
      </c>
      <c r="B31" s="154">
        <v>0</v>
      </c>
      <c r="C31" s="84">
        <v>0</v>
      </c>
      <c r="D31" s="84">
        <v>0</v>
      </c>
      <c r="E31" s="150">
        <v>0</v>
      </c>
      <c r="F31" s="84">
        <v>0</v>
      </c>
      <c r="G31" s="84">
        <v>0</v>
      </c>
      <c r="H31" s="84">
        <v>0</v>
      </c>
    </row>
    <row r="32" spans="1:8">
      <c r="A32" s="49" t="str">
        <f>HLOOKUP(INDICE!$F$2,Nombres!$C$3:$E$853,105)</f>
        <v>Inter-area positions</v>
      </c>
      <c r="B32" s="154">
        <v>0</v>
      </c>
      <c r="C32" s="84">
        <v>0</v>
      </c>
      <c r="D32" s="84">
        <v>0</v>
      </c>
      <c r="E32" s="150">
        <v>0</v>
      </c>
      <c r="F32" s="84">
        <v>0</v>
      </c>
      <c r="G32" s="84">
        <v>0</v>
      </c>
      <c r="H32" s="84">
        <v>0</v>
      </c>
    </row>
    <row r="33" spans="1:8">
      <c r="A33" s="49" t="str">
        <f>HLOOKUP(INDICE!$F$2,Nombres!$C$3:$E$853,106)</f>
        <v>Tangible assets</v>
      </c>
      <c r="B33" s="155">
        <v>1600.0452249</v>
      </c>
      <c r="C33" s="84">
        <v>1448.7829479100001</v>
      </c>
      <c r="D33" s="84">
        <v>1429.54000741</v>
      </c>
      <c r="E33" s="150">
        <v>1373.2818794499999</v>
      </c>
      <c r="F33" s="84">
        <v>1279.3054546999999</v>
      </c>
      <c r="G33" s="84">
        <v>1608.2906608999999</v>
      </c>
      <c r="H33" s="84">
        <v>1492.953139</v>
      </c>
    </row>
    <row r="34" spans="1:8">
      <c r="A34" s="49" t="str">
        <f>HLOOKUP(INDICE!$F$2,Nombres!$C$3:$E$853,107)</f>
        <v>Other assets</v>
      </c>
      <c r="B34" s="149">
        <v>7080.0219248000003</v>
      </c>
      <c r="C34" s="84">
        <v>7255.54346945</v>
      </c>
      <c r="D34" s="84">
        <v>7209.9447894699997</v>
      </c>
      <c r="E34" s="150">
        <v>6826.2780076099998</v>
      </c>
      <c r="F34" s="84">
        <v>6761.9045348</v>
      </c>
      <c r="G34" s="84">
        <v>7216.69349556</v>
      </c>
      <c r="H34" s="84">
        <v>6888.7787130300003</v>
      </c>
    </row>
    <row r="35" spans="1:8">
      <c r="A35" s="54" t="str">
        <f>HLOOKUP(INDICE!$F$2,Nombres!$C$3:$E$853,108)</f>
        <v>Total assets / Liabilities and equity</v>
      </c>
      <c r="B35" s="147">
        <v>19355.183614510002</v>
      </c>
      <c r="C35" s="83">
        <v>18794.757191799999</v>
      </c>
      <c r="D35" s="83">
        <v>18389.403311439997</v>
      </c>
      <c r="E35" s="148">
        <v>17365.26427639</v>
      </c>
      <c r="F35" s="83">
        <v>17169.75290141</v>
      </c>
      <c r="G35" s="83">
        <v>17918.752467159997</v>
      </c>
      <c r="H35" s="83">
        <v>17260.335667539999</v>
      </c>
    </row>
    <row r="36" spans="1:8">
      <c r="A36" s="49" t="str">
        <f>HLOOKUP(INDICE!$F$2,Nombres!$C$3:$E$853,109)</f>
        <v>Deposits from central banks and credit institutions</v>
      </c>
      <c r="B36" s="149">
        <v>0</v>
      </c>
      <c r="C36" s="84">
        <v>0</v>
      </c>
      <c r="D36" s="84">
        <v>0</v>
      </c>
      <c r="E36" s="150">
        <v>0</v>
      </c>
      <c r="F36" s="84">
        <v>0</v>
      </c>
      <c r="G36" s="84">
        <v>0</v>
      </c>
      <c r="H36" s="84">
        <v>0</v>
      </c>
    </row>
    <row r="37" spans="1:8">
      <c r="A37" s="49" t="str">
        <f>HLOOKUP(INDICE!$F$2,Nombres!$C$3:$E$853,110)</f>
        <v>Deposits from customers</v>
      </c>
      <c r="B37" s="149">
        <v>100.10953115</v>
      </c>
      <c r="C37" s="84">
        <v>68.524568349999996</v>
      </c>
      <c r="D37" s="84">
        <v>105.71797235</v>
      </c>
      <c r="E37" s="150">
        <v>52.673648380000003</v>
      </c>
      <c r="F37" s="84">
        <v>27.658391000000002</v>
      </c>
      <c r="G37" s="84">
        <v>173.81181789999999</v>
      </c>
      <c r="H37" s="84">
        <v>181.72760500000001</v>
      </c>
    </row>
    <row r="38" spans="1:8">
      <c r="A38" s="49" t="str">
        <f>HLOOKUP(INDICE!$F$2,Nombres!$C$3:$E$853,111)</f>
        <v>Debt certificates</v>
      </c>
      <c r="B38" s="149">
        <v>0</v>
      </c>
      <c r="C38" s="84">
        <v>0</v>
      </c>
      <c r="D38" s="84">
        <v>0</v>
      </c>
      <c r="E38" s="150">
        <v>0</v>
      </c>
      <c r="F38" s="84">
        <v>0</v>
      </c>
      <c r="G38" s="84">
        <v>0</v>
      </c>
      <c r="H38" s="84">
        <v>0</v>
      </c>
    </row>
    <row r="39" spans="1:8" ht="13.5" customHeight="1">
      <c r="A39" s="49" t="str">
        <f>HLOOKUP(INDICE!$F$2,Nombres!$C$3:$E$853,112)</f>
        <v>Subordinated liabilities</v>
      </c>
      <c r="B39" s="149">
        <v>911.89361062</v>
      </c>
      <c r="C39" s="84">
        <v>875.96001153999998</v>
      </c>
      <c r="D39" s="84">
        <v>900.52625822000005</v>
      </c>
      <c r="E39" s="150">
        <v>870.64573243999996</v>
      </c>
      <c r="F39" s="84">
        <v>775.65151185000002</v>
      </c>
      <c r="G39" s="84">
        <v>869.61179039000001</v>
      </c>
      <c r="H39" s="84">
        <v>842.10429615999999</v>
      </c>
    </row>
    <row r="40" spans="1:8" ht="13.5" customHeight="1">
      <c r="A40" s="49" t="str">
        <f>HLOOKUP(INDICE!$F$2,Nombres!$C$3:$E$853,113)</f>
        <v>Inter-area positions</v>
      </c>
      <c r="B40" s="149">
        <v>14695.306451078002</v>
      </c>
      <c r="C40" s="84">
        <v>14346.429061914399</v>
      </c>
      <c r="D40" s="84">
        <v>13781.050388855097</v>
      </c>
      <c r="E40" s="150">
        <v>12959.162506008</v>
      </c>
      <c r="F40" s="84">
        <v>13263.833848547099</v>
      </c>
      <c r="G40" s="84">
        <v>13396.854499981197</v>
      </c>
      <c r="H40" s="84">
        <v>12868.083238761099</v>
      </c>
    </row>
    <row r="41" spans="1:8">
      <c r="A41" s="49" t="str">
        <f>HLOOKUP(INDICE!$F$2,Nombres!$C$3:$E$853,114)</f>
        <v xml:space="preserve">Financial liabilities held for trading </v>
      </c>
      <c r="B41" s="235">
        <v>0</v>
      </c>
      <c r="C41" s="236">
        <v>0</v>
      </c>
      <c r="D41" s="236">
        <v>0</v>
      </c>
      <c r="E41" s="237">
        <v>0</v>
      </c>
      <c r="F41" s="84">
        <v>0</v>
      </c>
      <c r="G41" s="236">
        <v>0</v>
      </c>
      <c r="H41" s="236">
        <v>0</v>
      </c>
    </row>
    <row r="42" spans="1:8">
      <c r="A42" s="49" t="str">
        <f>HLOOKUP(INDICE!$F$2,Nombres!$C$3:$E$853,115)</f>
        <v>Other liabilities</v>
      </c>
      <c r="B42" s="149">
        <v>0.2959316619999563</v>
      </c>
      <c r="C42" s="84">
        <v>-4.4001376431346273E-9</v>
      </c>
      <c r="D42" s="84">
        <v>-3.5100188144898681E-8</v>
      </c>
      <c r="E42" s="150">
        <v>-7.9997753352212264E-9</v>
      </c>
      <c r="F42" s="84">
        <v>1.2899901320750917E-8</v>
      </c>
      <c r="G42" s="84">
        <v>2.371888880000006E-2</v>
      </c>
      <c r="H42" s="84">
        <v>1.8488999294213881E-6</v>
      </c>
    </row>
    <row r="43" spans="1:8" ht="12.75" customHeight="1">
      <c r="A43" s="49" t="str">
        <f>HLOOKUP(INDICE!$F$2,Nombres!$C$3:$E$853,116)</f>
        <v>Economic capital allocated</v>
      </c>
      <c r="B43" s="149">
        <v>3647.57809</v>
      </c>
      <c r="C43" s="84">
        <v>3503.8435500000001</v>
      </c>
      <c r="D43" s="84">
        <v>3602.1086920500002</v>
      </c>
      <c r="E43" s="150">
        <v>3482.7823895699999</v>
      </c>
      <c r="F43" s="84">
        <v>3102.6091500000002</v>
      </c>
      <c r="G43" s="84">
        <v>3478.45064</v>
      </c>
      <c r="H43" s="84">
        <v>3368.42052577</v>
      </c>
    </row>
    <row r="44" spans="1:8" ht="15" customHeight="1">
      <c r="A44"/>
      <c r="C44"/>
      <c r="D44"/>
      <c r="E44"/>
    </row>
    <row r="45" spans="1:8" ht="13.5" customHeight="1">
      <c r="A45"/>
      <c r="C45"/>
      <c r="D45"/>
      <c r="E45"/>
    </row>
    <row r="46" spans="1:8" ht="12.75" customHeight="1">
      <c r="A46"/>
      <c r="C46"/>
      <c r="D46"/>
      <c r="E46"/>
    </row>
    <row r="47" spans="1:8" ht="12" customHeight="1">
      <c r="A47"/>
      <c r="C47"/>
      <c r="D47"/>
      <c r="E47"/>
    </row>
    <row r="48" spans="1:8">
      <c r="A48"/>
      <c r="C48"/>
      <c r="D48"/>
      <c r="E48"/>
    </row>
    <row r="49" spans="1:5">
      <c r="A49"/>
      <c r="C49"/>
      <c r="D49"/>
      <c r="E49"/>
    </row>
    <row r="50" spans="1:5">
      <c r="A50"/>
      <c r="C50"/>
      <c r="D50"/>
      <c r="E50"/>
    </row>
    <row r="51" spans="1:5">
      <c r="A51"/>
      <c r="C51"/>
      <c r="D51"/>
      <c r="E51"/>
    </row>
    <row r="52" spans="1:5">
      <c r="A52"/>
      <c r="C52"/>
      <c r="D52"/>
      <c r="E52"/>
    </row>
    <row r="53" spans="1:5">
      <c r="A53"/>
      <c r="C53"/>
      <c r="D53"/>
      <c r="E53"/>
    </row>
    <row r="54" spans="1:5">
      <c r="A54"/>
      <c r="C54"/>
      <c r="D54"/>
      <c r="E54"/>
    </row>
    <row r="55" spans="1:5">
      <c r="A55"/>
      <c r="C55"/>
      <c r="D55"/>
      <c r="E55"/>
    </row>
    <row r="56" spans="1:5">
      <c r="A56"/>
      <c r="C56"/>
      <c r="D56"/>
      <c r="E56"/>
    </row>
    <row r="57" spans="1:5">
      <c r="A57"/>
      <c r="C57"/>
      <c r="D57"/>
      <c r="E57"/>
    </row>
    <row r="58" spans="1:5">
      <c r="A58"/>
      <c r="C58"/>
      <c r="D58"/>
      <c r="E58"/>
    </row>
    <row r="59" spans="1:5">
      <c r="A59"/>
      <c r="C59"/>
      <c r="D59"/>
      <c r="E59"/>
    </row>
    <row r="60" spans="1:5" ht="17.25" customHeight="1">
      <c r="A60"/>
      <c r="C60"/>
      <c r="D60"/>
      <c r="E60"/>
    </row>
    <row r="61" spans="1:5" ht="15.75" customHeight="1">
      <c r="A61"/>
      <c r="C61"/>
      <c r="D61"/>
      <c r="E61"/>
    </row>
    <row r="62" spans="1:5">
      <c r="A62"/>
      <c r="C62"/>
      <c r="D62"/>
      <c r="E62"/>
    </row>
    <row r="63" spans="1:5">
      <c r="A63"/>
      <c r="C63"/>
      <c r="D63"/>
      <c r="E63"/>
    </row>
    <row r="64" spans="1:5">
      <c r="A64"/>
      <c r="C64"/>
      <c r="D64"/>
      <c r="E64"/>
    </row>
    <row r="65" spans="1:5">
      <c r="A65"/>
      <c r="C65"/>
      <c r="D65"/>
      <c r="E65"/>
    </row>
    <row r="66" spans="1:5" ht="13.5" customHeight="1">
      <c r="A66"/>
      <c r="C66"/>
      <c r="D66"/>
      <c r="E66"/>
    </row>
    <row r="67" spans="1:5" ht="14.25" customHeight="1">
      <c r="A67"/>
      <c r="C67"/>
      <c r="D67"/>
      <c r="E67"/>
    </row>
    <row r="68" spans="1:5">
      <c r="A68"/>
      <c r="C68"/>
      <c r="D68"/>
      <c r="E68"/>
    </row>
    <row r="69" spans="1:5" ht="16.5" customHeight="1">
      <c r="A69"/>
      <c r="C69"/>
      <c r="D69"/>
      <c r="E69"/>
    </row>
    <row r="70" spans="1:5" ht="12.75" customHeight="1">
      <c r="A70"/>
      <c r="C70"/>
      <c r="D70"/>
      <c r="E70"/>
    </row>
    <row r="71" spans="1:5" ht="13.5" customHeight="1">
      <c r="A71"/>
      <c r="C71"/>
      <c r="D71"/>
      <c r="E71"/>
    </row>
    <row r="72" spans="1:5" ht="12.75" customHeight="1">
      <c r="A72"/>
      <c r="C72"/>
      <c r="D72"/>
      <c r="E72"/>
    </row>
    <row r="73" spans="1:5" ht="12.75" customHeight="1">
      <c r="A73"/>
      <c r="C73"/>
      <c r="D73"/>
      <c r="E73"/>
    </row>
    <row r="74" spans="1:5" ht="15" customHeight="1">
      <c r="A74"/>
      <c r="C74"/>
      <c r="D74"/>
      <c r="E74"/>
    </row>
    <row r="75" spans="1:5" ht="15.75" customHeight="1">
      <c r="A75"/>
      <c r="C75"/>
      <c r="D75"/>
      <c r="E75"/>
    </row>
    <row r="76" spans="1:5">
      <c r="A76"/>
      <c r="C76"/>
      <c r="D76"/>
      <c r="E76"/>
    </row>
    <row r="77" spans="1:5">
      <c r="A77"/>
      <c r="C77"/>
      <c r="D77"/>
      <c r="E77"/>
    </row>
    <row r="78" spans="1:5">
      <c r="A78"/>
      <c r="C78"/>
      <c r="D78"/>
      <c r="E78"/>
    </row>
    <row r="79" spans="1:5">
      <c r="A79"/>
      <c r="C79"/>
      <c r="D79"/>
      <c r="E79"/>
    </row>
    <row r="80" spans="1:5">
      <c r="A80"/>
      <c r="C80"/>
      <c r="D80"/>
      <c r="E80"/>
    </row>
    <row r="81" spans="1:5">
      <c r="A81"/>
      <c r="C81"/>
      <c r="D81"/>
      <c r="E81"/>
    </row>
    <row r="82" spans="1:5">
      <c r="A82"/>
      <c r="C82"/>
      <c r="D82"/>
      <c r="E82"/>
    </row>
    <row r="83" spans="1:5">
      <c r="A83"/>
      <c r="C83"/>
      <c r="D83"/>
      <c r="E83"/>
    </row>
    <row r="84" spans="1:5">
      <c r="A84"/>
      <c r="C84"/>
      <c r="D84"/>
      <c r="E84"/>
    </row>
    <row r="85" spans="1:5">
      <c r="A85"/>
      <c r="C85"/>
      <c r="D85"/>
      <c r="E85"/>
    </row>
    <row r="86" spans="1:5">
      <c r="A86"/>
      <c r="C86"/>
      <c r="D86"/>
      <c r="E86"/>
    </row>
    <row r="87" spans="1:5">
      <c r="A87"/>
      <c r="C87"/>
      <c r="D87"/>
      <c r="E87"/>
    </row>
    <row r="88" spans="1:5">
      <c r="A88"/>
      <c r="C88"/>
      <c r="D88"/>
      <c r="E88"/>
    </row>
    <row r="89" spans="1:5">
      <c r="A89"/>
      <c r="C89"/>
      <c r="D89"/>
      <c r="E89"/>
    </row>
    <row r="90" spans="1:5">
      <c r="A90"/>
      <c r="C90"/>
      <c r="D90"/>
      <c r="E90"/>
    </row>
    <row r="91" spans="1:5">
      <c r="A91"/>
      <c r="C91"/>
      <c r="D91"/>
      <c r="E91"/>
    </row>
    <row r="92" spans="1:5">
      <c r="A92"/>
      <c r="C92"/>
      <c r="D92"/>
      <c r="E92"/>
    </row>
    <row r="93" spans="1:5">
      <c r="A93"/>
      <c r="C93"/>
      <c r="D93"/>
      <c r="E93"/>
    </row>
    <row r="94" spans="1:5" ht="12" customHeight="1">
      <c r="A94"/>
      <c r="C94"/>
      <c r="D94"/>
      <c r="E94"/>
    </row>
    <row r="95" spans="1:5" ht="12" customHeight="1">
      <c r="A95"/>
      <c r="C95"/>
      <c r="D95"/>
      <c r="E95"/>
    </row>
    <row r="96" spans="1:5">
      <c r="A96"/>
      <c r="C96"/>
      <c r="D96"/>
      <c r="E96"/>
    </row>
    <row r="97" spans="1:5" ht="12" customHeight="1">
      <c r="A97"/>
      <c r="C97"/>
      <c r="D97"/>
      <c r="E97"/>
    </row>
    <row r="98" spans="1:5" ht="11.25" customHeight="1">
      <c r="A98"/>
      <c r="C98"/>
      <c r="D98"/>
      <c r="E98"/>
    </row>
    <row r="99" spans="1:5">
      <c r="A99"/>
      <c r="C99"/>
      <c r="D99"/>
      <c r="E99"/>
    </row>
    <row r="100" spans="1:5">
      <c r="A100"/>
      <c r="C100"/>
      <c r="D100"/>
      <c r="E100"/>
    </row>
    <row r="101" spans="1:5">
      <c r="A101"/>
      <c r="C101"/>
      <c r="D101"/>
      <c r="E101"/>
    </row>
    <row r="102" spans="1:5">
      <c r="A102"/>
      <c r="C102"/>
      <c r="D102"/>
      <c r="E102"/>
    </row>
    <row r="103" spans="1:5">
      <c r="A103"/>
      <c r="C103"/>
      <c r="D103"/>
      <c r="E103"/>
    </row>
    <row r="104" spans="1:5">
      <c r="A104"/>
      <c r="C104"/>
      <c r="D104"/>
      <c r="E104"/>
    </row>
    <row r="105" spans="1:5">
      <c r="A105"/>
      <c r="C105"/>
      <c r="D105"/>
      <c r="E105"/>
    </row>
  </sheetData>
  <mergeCells count="2">
    <mergeCell ref="B4:E4"/>
    <mergeCell ref="F4:H4"/>
  </mergeCells>
  <pageMargins left="0.7" right="0.7" top="0.75" bottom="0.75" header="0.3" footer="0.3"/>
  <pageSetup paperSize="9" scale="7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E21"/>
  <sheetViews>
    <sheetView showGridLines="0" workbookViewId="0"/>
  </sheetViews>
  <sheetFormatPr baseColWidth="10" defaultColWidth="9.140625" defaultRowHeight="15"/>
  <cols>
    <col min="1" max="1" width="55.28515625" style="159" customWidth="1"/>
    <col min="2" max="2" width="9.7109375" customWidth="1"/>
    <col min="3" max="3" width="12.140625" style="143" customWidth="1"/>
    <col min="4" max="4" width="10.5703125" style="143" bestFit="1" customWidth="1"/>
    <col min="5" max="5" width="9.140625" style="143" customWidth="1"/>
    <col min="6" max="6" width="9.28515625" bestFit="1" customWidth="1"/>
    <col min="7" max="8" width="9.7109375" bestFit="1" customWidth="1"/>
    <col min="257" max="257" width="55.28515625" customWidth="1"/>
    <col min="258" max="258" width="9.7109375" customWidth="1"/>
    <col min="259" max="259" width="12.140625" customWidth="1"/>
    <col min="260" max="260" width="10.5703125" bestFit="1" customWidth="1"/>
    <col min="261" max="261" width="9.140625" customWidth="1"/>
    <col min="262" max="262" width="9.28515625" bestFit="1" customWidth="1"/>
    <col min="263" max="264" width="9.7109375" bestFit="1" customWidth="1"/>
    <col min="513" max="513" width="55.28515625" customWidth="1"/>
    <col min="514" max="514" width="9.7109375" customWidth="1"/>
    <col min="515" max="515" width="12.140625" customWidth="1"/>
    <col min="516" max="516" width="10.5703125" bestFit="1" customWidth="1"/>
    <col min="517" max="517" width="9.140625" customWidth="1"/>
    <col min="518" max="518" width="9.28515625" bestFit="1" customWidth="1"/>
    <col min="519" max="520" width="9.7109375" bestFit="1" customWidth="1"/>
    <col min="769" max="769" width="55.28515625" customWidth="1"/>
    <col min="770" max="770" width="9.7109375" customWidth="1"/>
    <col min="771" max="771" width="12.140625" customWidth="1"/>
    <col min="772" max="772" width="10.5703125" bestFit="1" customWidth="1"/>
    <col min="773" max="773" width="9.140625" customWidth="1"/>
    <col min="774" max="774" width="9.28515625" bestFit="1" customWidth="1"/>
    <col min="775" max="776" width="9.7109375" bestFit="1" customWidth="1"/>
    <col min="1025" max="1025" width="55.28515625" customWidth="1"/>
    <col min="1026" max="1026" width="9.7109375" customWidth="1"/>
    <col min="1027" max="1027" width="12.140625" customWidth="1"/>
    <col min="1028" max="1028" width="10.5703125" bestFit="1" customWidth="1"/>
    <col min="1029" max="1029" width="9.140625" customWidth="1"/>
    <col min="1030" max="1030" width="9.28515625" bestFit="1" customWidth="1"/>
    <col min="1031" max="1032" width="9.7109375" bestFit="1" customWidth="1"/>
    <col min="1281" max="1281" width="55.28515625" customWidth="1"/>
    <col min="1282" max="1282" width="9.7109375" customWidth="1"/>
    <col min="1283" max="1283" width="12.140625" customWidth="1"/>
    <col min="1284" max="1284" width="10.5703125" bestFit="1" customWidth="1"/>
    <col min="1285" max="1285" width="9.140625" customWidth="1"/>
    <col min="1286" max="1286" width="9.28515625" bestFit="1" customWidth="1"/>
    <col min="1287" max="1288" width="9.7109375" bestFit="1" customWidth="1"/>
    <col min="1537" max="1537" width="55.28515625" customWidth="1"/>
    <col min="1538" max="1538" width="9.7109375" customWidth="1"/>
    <col min="1539" max="1539" width="12.140625" customWidth="1"/>
    <col min="1540" max="1540" width="10.5703125" bestFit="1" customWidth="1"/>
    <col min="1541" max="1541" width="9.140625" customWidth="1"/>
    <col min="1542" max="1542" width="9.28515625" bestFit="1" customWidth="1"/>
    <col min="1543" max="1544" width="9.7109375" bestFit="1" customWidth="1"/>
    <col min="1793" max="1793" width="55.28515625" customWidth="1"/>
    <col min="1794" max="1794" width="9.7109375" customWidth="1"/>
    <col min="1795" max="1795" width="12.140625" customWidth="1"/>
    <col min="1796" max="1796" width="10.5703125" bestFit="1" customWidth="1"/>
    <col min="1797" max="1797" width="9.140625" customWidth="1"/>
    <col min="1798" max="1798" width="9.28515625" bestFit="1" customWidth="1"/>
    <col min="1799" max="1800" width="9.7109375" bestFit="1" customWidth="1"/>
    <col min="2049" max="2049" width="55.28515625" customWidth="1"/>
    <col min="2050" max="2050" width="9.7109375" customWidth="1"/>
    <col min="2051" max="2051" width="12.140625" customWidth="1"/>
    <col min="2052" max="2052" width="10.5703125" bestFit="1" customWidth="1"/>
    <col min="2053" max="2053" width="9.140625" customWidth="1"/>
    <col min="2054" max="2054" width="9.28515625" bestFit="1" customWidth="1"/>
    <col min="2055" max="2056" width="9.7109375" bestFit="1" customWidth="1"/>
    <col min="2305" max="2305" width="55.28515625" customWidth="1"/>
    <col min="2306" max="2306" width="9.7109375" customWidth="1"/>
    <col min="2307" max="2307" width="12.140625" customWidth="1"/>
    <col min="2308" max="2308" width="10.5703125" bestFit="1" customWidth="1"/>
    <col min="2309" max="2309" width="9.140625" customWidth="1"/>
    <col min="2310" max="2310" width="9.28515625" bestFit="1" customWidth="1"/>
    <col min="2311" max="2312" width="9.7109375" bestFit="1" customWidth="1"/>
    <col min="2561" max="2561" width="55.28515625" customWidth="1"/>
    <col min="2562" max="2562" width="9.7109375" customWidth="1"/>
    <col min="2563" max="2563" width="12.140625" customWidth="1"/>
    <col min="2564" max="2564" width="10.5703125" bestFit="1" customWidth="1"/>
    <col min="2565" max="2565" width="9.140625" customWidth="1"/>
    <col min="2566" max="2566" width="9.28515625" bestFit="1" customWidth="1"/>
    <col min="2567" max="2568" width="9.7109375" bestFit="1" customWidth="1"/>
    <col min="2817" max="2817" width="55.28515625" customWidth="1"/>
    <col min="2818" max="2818" width="9.7109375" customWidth="1"/>
    <col min="2819" max="2819" width="12.140625" customWidth="1"/>
    <col min="2820" max="2820" width="10.5703125" bestFit="1" customWidth="1"/>
    <col min="2821" max="2821" width="9.140625" customWidth="1"/>
    <col min="2822" max="2822" width="9.28515625" bestFit="1" customWidth="1"/>
    <col min="2823" max="2824" width="9.7109375" bestFit="1" customWidth="1"/>
    <col min="3073" max="3073" width="55.28515625" customWidth="1"/>
    <col min="3074" max="3074" width="9.7109375" customWidth="1"/>
    <col min="3075" max="3075" width="12.140625" customWidth="1"/>
    <col min="3076" max="3076" width="10.5703125" bestFit="1" customWidth="1"/>
    <col min="3077" max="3077" width="9.140625" customWidth="1"/>
    <col min="3078" max="3078" width="9.28515625" bestFit="1" customWidth="1"/>
    <col min="3079" max="3080" width="9.7109375" bestFit="1" customWidth="1"/>
    <col min="3329" max="3329" width="55.28515625" customWidth="1"/>
    <col min="3330" max="3330" width="9.7109375" customWidth="1"/>
    <col min="3331" max="3331" width="12.140625" customWidth="1"/>
    <col min="3332" max="3332" width="10.5703125" bestFit="1" customWidth="1"/>
    <col min="3333" max="3333" width="9.140625" customWidth="1"/>
    <col min="3334" max="3334" width="9.28515625" bestFit="1" customWidth="1"/>
    <col min="3335" max="3336" width="9.7109375" bestFit="1" customWidth="1"/>
    <col min="3585" max="3585" width="55.28515625" customWidth="1"/>
    <col min="3586" max="3586" width="9.7109375" customWidth="1"/>
    <col min="3587" max="3587" width="12.140625" customWidth="1"/>
    <col min="3588" max="3588" width="10.5703125" bestFit="1" customWidth="1"/>
    <col min="3589" max="3589" width="9.140625" customWidth="1"/>
    <col min="3590" max="3590" width="9.28515625" bestFit="1" customWidth="1"/>
    <col min="3591" max="3592" width="9.7109375" bestFit="1" customWidth="1"/>
    <col min="3841" max="3841" width="55.28515625" customWidth="1"/>
    <col min="3842" max="3842" width="9.7109375" customWidth="1"/>
    <col min="3843" max="3843" width="12.140625" customWidth="1"/>
    <col min="3844" max="3844" width="10.5703125" bestFit="1" customWidth="1"/>
    <col min="3845" max="3845" width="9.140625" customWidth="1"/>
    <col min="3846" max="3846" width="9.28515625" bestFit="1" customWidth="1"/>
    <col min="3847" max="3848" width="9.7109375" bestFit="1" customWidth="1"/>
    <col min="4097" max="4097" width="55.28515625" customWidth="1"/>
    <col min="4098" max="4098" width="9.7109375" customWidth="1"/>
    <col min="4099" max="4099" width="12.140625" customWidth="1"/>
    <col min="4100" max="4100" width="10.5703125" bestFit="1" customWidth="1"/>
    <col min="4101" max="4101" width="9.140625" customWidth="1"/>
    <col min="4102" max="4102" width="9.28515625" bestFit="1" customWidth="1"/>
    <col min="4103" max="4104" width="9.7109375" bestFit="1" customWidth="1"/>
    <col min="4353" max="4353" width="55.28515625" customWidth="1"/>
    <col min="4354" max="4354" width="9.7109375" customWidth="1"/>
    <col min="4355" max="4355" width="12.140625" customWidth="1"/>
    <col min="4356" max="4356" width="10.5703125" bestFit="1" customWidth="1"/>
    <col min="4357" max="4357" width="9.140625" customWidth="1"/>
    <col min="4358" max="4358" width="9.28515625" bestFit="1" customWidth="1"/>
    <col min="4359" max="4360" width="9.7109375" bestFit="1" customWidth="1"/>
    <col min="4609" max="4609" width="55.28515625" customWidth="1"/>
    <col min="4610" max="4610" width="9.7109375" customWidth="1"/>
    <col min="4611" max="4611" width="12.140625" customWidth="1"/>
    <col min="4612" max="4612" width="10.5703125" bestFit="1" customWidth="1"/>
    <col min="4613" max="4613" width="9.140625" customWidth="1"/>
    <col min="4614" max="4614" width="9.28515625" bestFit="1" customWidth="1"/>
    <col min="4615" max="4616" width="9.7109375" bestFit="1" customWidth="1"/>
    <col min="4865" max="4865" width="55.28515625" customWidth="1"/>
    <col min="4866" max="4866" width="9.7109375" customWidth="1"/>
    <col min="4867" max="4867" width="12.140625" customWidth="1"/>
    <col min="4868" max="4868" width="10.5703125" bestFit="1" customWidth="1"/>
    <col min="4869" max="4869" width="9.140625" customWidth="1"/>
    <col min="4870" max="4870" width="9.28515625" bestFit="1" customWidth="1"/>
    <col min="4871" max="4872" width="9.7109375" bestFit="1" customWidth="1"/>
    <col min="5121" max="5121" width="55.28515625" customWidth="1"/>
    <col min="5122" max="5122" width="9.7109375" customWidth="1"/>
    <col min="5123" max="5123" width="12.140625" customWidth="1"/>
    <col min="5124" max="5124" width="10.5703125" bestFit="1" customWidth="1"/>
    <col min="5125" max="5125" width="9.140625" customWidth="1"/>
    <col min="5126" max="5126" width="9.28515625" bestFit="1" customWidth="1"/>
    <col min="5127" max="5128" width="9.7109375" bestFit="1" customWidth="1"/>
    <col min="5377" max="5377" width="55.28515625" customWidth="1"/>
    <col min="5378" max="5378" width="9.7109375" customWidth="1"/>
    <col min="5379" max="5379" width="12.140625" customWidth="1"/>
    <col min="5380" max="5380" width="10.5703125" bestFit="1" customWidth="1"/>
    <col min="5381" max="5381" width="9.140625" customWidth="1"/>
    <col min="5382" max="5382" width="9.28515625" bestFit="1" customWidth="1"/>
    <col min="5383" max="5384" width="9.7109375" bestFit="1" customWidth="1"/>
    <col min="5633" max="5633" width="55.28515625" customWidth="1"/>
    <col min="5634" max="5634" width="9.7109375" customWidth="1"/>
    <col min="5635" max="5635" width="12.140625" customWidth="1"/>
    <col min="5636" max="5636" width="10.5703125" bestFit="1" customWidth="1"/>
    <col min="5637" max="5637" width="9.140625" customWidth="1"/>
    <col min="5638" max="5638" width="9.28515625" bestFit="1" customWidth="1"/>
    <col min="5639" max="5640" width="9.7109375" bestFit="1" customWidth="1"/>
    <col min="5889" max="5889" width="55.28515625" customWidth="1"/>
    <col min="5890" max="5890" width="9.7109375" customWidth="1"/>
    <col min="5891" max="5891" width="12.140625" customWidth="1"/>
    <col min="5892" max="5892" width="10.5703125" bestFit="1" customWidth="1"/>
    <col min="5893" max="5893" width="9.140625" customWidth="1"/>
    <col min="5894" max="5894" width="9.28515625" bestFit="1" customWidth="1"/>
    <col min="5895" max="5896" width="9.7109375" bestFit="1" customWidth="1"/>
    <col min="6145" max="6145" width="55.28515625" customWidth="1"/>
    <col min="6146" max="6146" width="9.7109375" customWidth="1"/>
    <col min="6147" max="6147" width="12.140625" customWidth="1"/>
    <col min="6148" max="6148" width="10.5703125" bestFit="1" customWidth="1"/>
    <col min="6149" max="6149" width="9.140625" customWidth="1"/>
    <col min="6150" max="6150" width="9.28515625" bestFit="1" customWidth="1"/>
    <col min="6151" max="6152" width="9.7109375" bestFit="1" customWidth="1"/>
    <col min="6401" max="6401" width="55.28515625" customWidth="1"/>
    <col min="6402" max="6402" width="9.7109375" customWidth="1"/>
    <col min="6403" max="6403" width="12.140625" customWidth="1"/>
    <col min="6404" max="6404" width="10.5703125" bestFit="1" customWidth="1"/>
    <col min="6405" max="6405" width="9.140625" customWidth="1"/>
    <col min="6406" max="6406" width="9.28515625" bestFit="1" customWidth="1"/>
    <col min="6407" max="6408" width="9.7109375" bestFit="1" customWidth="1"/>
    <col min="6657" max="6657" width="55.28515625" customWidth="1"/>
    <col min="6658" max="6658" width="9.7109375" customWidth="1"/>
    <col min="6659" max="6659" width="12.140625" customWidth="1"/>
    <col min="6660" max="6660" width="10.5703125" bestFit="1" customWidth="1"/>
    <col min="6661" max="6661" width="9.140625" customWidth="1"/>
    <col min="6662" max="6662" width="9.28515625" bestFit="1" customWidth="1"/>
    <col min="6663" max="6664" width="9.7109375" bestFit="1" customWidth="1"/>
    <col min="6913" max="6913" width="55.28515625" customWidth="1"/>
    <col min="6914" max="6914" width="9.7109375" customWidth="1"/>
    <col min="6915" max="6915" width="12.140625" customWidth="1"/>
    <col min="6916" max="6916" width="10.5703125" bestFit="1" customWidth="1"/>
    <col min="6917" max="6917" width="9.140625" customWidth="1"/>
    <col min="6918" max="6918" width="9.28515625" bestFit="1" customWidth="1"/>
    <col min="6919" max="6920" width="9.7109375" bestFit="1" customWidth="1"/>
    <col min="7169" max="7169" width="55.28515625" customWidth="1"/>
    <col min="7170" max="7170" width="9.7109375" customWidth="1"/>
    <col min="7171" max="7171" width="12.140625" customWidth="1"/>
    <col min="7172" max="7172" width="10.5703125" bestFit="1" customWidth="1"/>
    <col min="7173" max="7173" width="9.140625" customWidth="1"/>
    <col min="7174" max="7174" width="9.28515625" bestFit="1" customWidth="1"/>
    <col min="7175" max="7176" width="9.7109375" bestFit="1" customWidth="1"/>
    <col min="7425" max="7425" width="55.28515625" customWidth="1"/>
    <col min="7426" max="7426" width="9.7109375" customWidth="1"/>
    <col min="7427" max="7427" width="12.140625" customWidth="1"/>
    <col min="7428" max="7428" width="10.5703125" bestFit="1" customWidth="1"/>
    <col min="7429" max="7429" width="9.140625" customWidth="1"/>
    <col min="7430" max="7430" width="9.28515625" bestFit="1" customWidth="1"/>
    <col min="7431" max="7432" width="9.7109375" bestFit="1" customWidth="1"/>
    <col min="7681" max="7681" width="55.28515625" customWidth="1"/>
    <col min="7682" max="7682" width="9.7109375" customWidth="1"/>
    <col min="7683" max="7683" width="12.140625" customWidth="1"/>
    <col min="7684" max="7684" width="10.5703125" bestFit="1" customWidth="1"/>
    <col min="7685" max="7685" width="9.140625" customWidth="1"/>
    <col min="7686" max="7686" width="9.28515625" bestFit="1" customWidth="1"/>
    <col min="7687" max="7688" width="9.7109375" bestFit="1" customWidth="1"/>
    <col min="7937" max="7937" width="55.28515625" customWidth="1"/>
    <col min="7938" max="7938" width="9.7109375" customWidth="1"/>
    <col min="7939" max="7939" width="12.140625" customWidth="1"/>
    <col min="7940" max="7940" width="10.5703125" bestFit="1" customWidth="1"/>
    <col min="7941" max="7941" width="9.140625" customWidth="1"/>
    <col min="7942" max="7942" width="9.28515625" bestFit="1" customWidth="1"/>
    <col min="7943" max="7944" width="9.7109375" bestFit="1" customWidth="1"/>
    <col min="8193" max="8193" width="55.28515625" customWidth="1"/>
    <col min="8194" max="8194" width="9.7109375" customWidth="1"/>
    <col min="8195" max="8195" width="12.140625" customWidth="1"/>
    <col min="8196" max="8196" width="10.5703125" bestFit="1" customWidth="1"/>
    <col min="8197" max="8197" width="9.140625" customWidth="1"/>
    <col min="8198" max="8198" width="9.28515625" bestFit="1" customWidth="1"/>
    <col min="8199" max="8200" width="9.7109375" bestFit="1" customWidth="1"/>
    <col min="8449" max="8449" width="55.28515625" customWidth="1"/>
    <col min="8450" max="8450" width="9.7109375" customWidth="1"/>
    <col min="8451" max="8451" width="12.140625" customWidth="1"/>
    <col min="8452" max="8452" width="10.5703125" bestFit="1" customWidth="1"/>
    <col min="8453" max="8453" width="9.140625" customWidth="1"/>
    <col min="8454" max="8454" width="9.28515625" bestFit="1" customWidth="1"/>
    <col min="8455" max="8456" width="9.7109375" bestFit="1" customWidth="1"/>
    <col min="8705" max="8705" width="55.28515625" customWidth="1"/>
    <col min="8706" max="8706" width="9.7109375" customWidth="1"/>
    <col min="8707" max="8707" width="12.140625" customWidth="1"/>
    <col min="8708" max="8708" width="10.5703125" bestFit="1" customWidth="1"/>
    <col min="8709" max="8709" width="9.140625" customWidth="1"/>
    <col min="8710" max="8710" width="9.28515625" bestFit="1" customWidth="1"/>
    <col min="8711" max="8712" width="9.7109375" bestFit="1" customWidth="1"/>
    <col min="8961" max="8961" width="55.28515625" customWidth="1"/>
    <col min="8962" max="8962" width="9.7109375" customWidth="1"/>
    <col min="8963" max="8963" width="12.140625" customWidth="1"/>
    <col min="8964" max="8964" width="10.5703125" bestFit="1" customWidth="1"/>
    <col min="8965" max="8965" width="9.140625" customWidth="1"/>
    <col min="8966" max="8966" width="9.28515625" bestFit="1" customWidth="1"/>
    <col min="8967" max="8968" width="9.7109375" bestFit="1" customWidth="1"/>
    <col min="9217" max="9217" width="55.28515625" customWidth="1"/>
    <col min="9218" max="9218" width="9.7109375" customWidth="1"/>
    <col min="9219" max="9219" width="12.140625" customWidth="1"/>
    <col min="9220" max="9220" width="10.5703125" bestFit="1" customWidth="1"/>
    <col min="9221" max="9221" width="9.140625" customWidth="1"/>
    <col min="9222" max="9222" width="9.28515625" bestFit="1" customWidth="1"/>
    <col min="9223" max="9224" width="9.7109375" bestFit="1" customWidth="1"/>
    <col min="9473" max="9473" width="55.28515625" customWidth="1"/>
    <col min="9474" max="9474" width="9.7109375" customWidth="1"/>
    <col min="9475" max="9475" width="12.140625" customWidth="1"/>
    <col min="9476" max="9476" width="10.5703125" bestFit="1" customWidth="1"/>
    <col min="9477" max="9477" width="9.140625" customWidth="1"/>
    <col min="9478" max="9478" width="9.28515625" bestFit="1" customWidth="1"/>
    <col min="9479" max="9480" width="9.7109375" bestFit="1" customWidth="1"/>
    <col min="9729" max="9729" width="55.28515625" customWidth="1"/>
    <col min="9730" max="9730" width="9.7109375" customWidth="1"/>
    <col min="9731" max="9731" width="12.140625" customWidth="1"/>
    <col min="9732" max="9732" width="10.5703125" bestFit="1" customWidth="1"/>
    <col min="9733" max="9733" width="9.140625" customWidth="1"/>
    <col min="9734" max="9734" width="9.28515625" bestFit="1" customWidth="1"/>
    <col min="9735" max="9736" width="9.7109375" bestFit="1" customWidth="1"/>
    <col min="9985" max="9985" width="55.28515625" customWidth="1"/>
    <col min="9986" max="9986" width="9.7109375" customWidth="1"/>
    <col min="9987" max="9987" width="12.140625" customWidth="1"/>
    <col min="9988" max="9988" width="10.5703125" bestFit="1" customWidth="1"/>
    <col min="9989" max="9989" width="9.140625" customWidth="1"/>
    <col min="9990" max="9990" width="9.28515625" bestFit="1" customWidth="1"/>
    <col min="9991" max="9992" width="9.7109375" bestFit="1" customWidth="1"/>
    <col min="10241" max="10241" width="55.28515625" customWidth="1"/>
    <col min="10242" max="10242" width="9.7109375" customWidth="1"/>
    <col min="10243" max="10243" width="12.140625" customWidth="1"/>
    <col min="10244" max="10244" width="10.5703125" bestFit="1" customWidth="1"/>
    <col min="10245" max="10245" width="9.140625" customWidth="1"/>
    <col min="10246" max="10246" width="9.28515625" bestFit="1" customWidth="1"/>
    <col min="10247" max="10248" width="9.7109375" bestFit="1" customWidth="1"/>
    <col min="10497" max="10497" width="55.28515625" customWidth="1"/>
    <col min="10498" max="10498" width="9.7109375" customWidth="1"/>
    <col min="10499" max="10499" width="12.140625" customWidth="1"/>
    <col min="10500" max="10500" width="10.5703125" bestFit="1" customWidth="1"/>
    <col min="10501" max="10501" width="9.140625" customWidth="1"/>
    <col min="10502" max="10502" width="9.28515625" bestFit="1" customWidth="1"/>
    <col min="10503" max="10504" width="9.7109375" bestFit="1" customWidth="1"/>
    <col min="10753" max="10753" width="55.28515625" customWidth="1"/>
    <col min="10754" max="10754" width="9.7109375" customWidth="1"/>
    <col min="10755" max="10755" width="12.140625" customWidth="1"/>
    <col min="10756" max="10756" width="10.5703125" bestFit="1" customWidth="1"/>
    <col min="10757" max="10757" width="9.140625" customWidth="1"/>
    <col min="10758" max="10758" width="9.28515625" bestFit="1" customWidth="1"/>
    <col min="10759" max="10760" width="9.7109375" bestFit="1" customWidth="1"/>
    <col min="11009" max="11009" width="55.28515625" customWidth="1"/>
    <col min="11010" max="11010" width="9.7109375" customWidth="1"/>
    <col min="11011" max="11011" width="12.140625" customWidth="1"/>
    <col min="11012" max="11012" width="10.5703125" bestFit="1" customWidth="1"/>
    <col min="11013" max="11013" width="9.140625" customWidth="1"/>
    <col min="11014" max="11014" width="9.28515625" bestFit="1" customWidth="1"/>
    <col min="11015" max="11016" width="9.7109375" bestFit="1" customWidth="1"/>
    <col min="11265" max="11265" width="55.28515625" customWidth="1"/>
    <col min="11266" max="11266" width="9.7109375" customWidth="1"/>
    <col min="11267" max="11267" width="12.140625" customWidth="1"/>
    <col min="11268" max="11268" width="10.5703125" bestFit="1" customWidth="1"/>
    <col min="11269" max="11269" width="9.140625" customWidth="1"/>
    <col min="11270" max="11270" width="9.28515625" bestFit="1" customWidth="1"/>
    <col min="11271" max="11272" width="9.7109375" bestFit="1" customWidth="1"/>
    <col min="11521" max="11521" width="55.28515625" customWidth="1"/>
    <col min="11522" max="11522" width="9.7109375" customWidth="1"/>
    <col min="11523" max="11523" width="12.140625" customWidth="1"/>
    <col min="11524" max="11524" width="10.5703125" bestFit="1" customWidth="1"/>
    <col min="11525" max="11525" width="9.140625" customWidth="1"/>
    <col min="11526" max="11526" width="9.28515625" bestFit="1" customWidth="1"/>
    <col min="11527" max="11528" width="9.7109375" bestFit="1" customWidth="1"/>
    <col min="11777" max="11777" width="55.28515625" customWidth="1"/>
    <col min="11778" max="11778" width="9.7109375" customWidth="1"/>
    <col min="11779" max="11779" width="12.140625" customWidth="1"/>
    <col min="11780" max="11780" width="10.5703125" bestFit="1" customWidth="1"/>
    <col min="11781" max="11781" width="9.140625" customWidth="1"/>
    <col min="11782" max="11782" width="9.28515625" bestFit="1" customWidth="1"/>
    <col min="11783" max="11784" width="9.7109375" bestFit="1" customWidth="1"/>
    <col min="12033" max="12033" width="55.28515625" customWidth="1"/>
    <col min="12034" max="12034" width="9.7109375" customWidth="1"/>
    <col min="12035" max="12035" width="12.140625" customWidth="1"/>
    <col min="12036" max="12036" width="10.5703125" bestFit="1" customWidth="1"/>
    <col min="12037" max="12037" width="9.140625" customWidth="1"/>
    <col min="12038" max="12038" width="9.28515625" bestFit="1" customWidth="1"/>
    <col min="12039" max="12040" width="9.7109375" bestFit="1" customWidth="1"/>
    <col min="12289" max="12289" width="55.28515625" customWidth="1"/>
    <col min="12290" max="12290" width="9.7109375" customWidth="1"/>
    <col min="12291" max="12291" width="12.140625" customWidth="1"/>
    <col min="12292" max="12292" width="10.5703125" bestFit="1" customWidth="1"/>
    <col min="12293" max="12293" width="9.140625" customWidth="1"/>
    <col min="12294" max="12294" width="9.28515625" bestFit="1" customWidth="1"/>
    <col min="12295" max="12296" width="9.7109375" bestFit="1" customWidth="1"/>
    <col min="12545" max="12545" width="55.28515625" customWidth="1"/>
    <col min="12546" max="12546" width="9.7109375" customWidth="1"/>
    <col min="12547" max="12547" width="12.140625" customWidth="1"/>
    <col min="12548" max="12548" width="10.5703125" bestFit="1" customWidth="1"/>
    <col min="12549" max="12549" width="9.140625" customWidth="1"/>
    <col min="12550" max="12550" width="9.28515625" bestFit="1" customWidth="1"/>
    <col min="12551" max="12552" width="9.7109375" bestFit="1" customWidth="1"/>
    <col min="12801" max="12801" width="55.28515625" customWidth="1"/>
    <col min="12802" max="12802" width="9.7109375" customWidth="1"/>
    <col min="12803" max="12803" width="12.140625" customWidth="1"/>
    <col min="12804" max="12804" width="10.5703125" bestFit="1" customWidth="1"/>
    <col min="12805" max="12805" width="9.140625" customWidth="1"/>
    <col min="12806" max="12806" width="9.28515625" bestFit="1" customWidth="1"/>
    <col min="12807" max="12808" width="9.7109375" bestFit="1" customWidth="1"/>
    <col min="13057" max="13057" width="55.28515625" customWidth="1"/>
    <col min="13058" max="13058" width="9.7109375" customWidth="1"/>
    <col min="13059" max="13059" width="12.140625" customWidth="1"/>
    <col min="13060" max="13060" width="10.5703125" bestFit="1" customWidth="1"/>
    <col min="13061" max="13061" width="9.140625" customWidth="1"/>
    <col min="13062" max="13062" width="9.28515625" bestFit="1" customWidth="1"/>
    <col min="13063" max="13064" width="9.7109375" bestFit="1" customWidth="1"/>
    <col min="13313" max="13313" width="55.28515625" customWidth="1"/>
    <col min="13314" max="13314" width="9.7109375" customWidth="1"/>
    <col min="13315" max="13315" width="12.140625" customWidth="1"/>
    <col min="13316" max="13316" width="10.5703125" bestFit="1" customWidth="1"/>
    <col min="13317" max="13317" width="9.140625" customWidth="1"/>
    <col min="13318" max="13318" width="9.28515625" bestFit="1" customWidth="1"/>
    <col min="13319" max="13320" width="9.7109375" bestFit="1" customWidth="1"/>
    <col min="13569" max="13569" width="55.28515625" customWidth="1"/>
    <col min="13570" max="13570" width="9.7109375" customWidth="1"/>
    <col min="13571" max="13571" width="12.140625" customWidth="1"/>
    <col min="13572" max="13572" width="10.5703125" bestFit="1" customWidth="1"/>
    <col min="13573" max="13573" width="9.140625" customWidth="1"/>
    <col min="13574" max="13574" width="9.28515625" bestFit="1" customWidth="1"/>
    <col min="13575" max="13576" width="9.7109375" bestFit="1" customWidth="1"/>
    <col min="13825" max="13825" width="55.28515625" customWidth="1"/>
    <col min="13826" max="13826" width="9.7109375" customWidth="1"/>
    <col min="13827" max="13827" width="12.140625" customWidth="1"/>
    <col min="13828" max="13828" width="10.5703125" bestFit="1" customWidth="1"/>
    <col min="13829" max="13829" width="9.140625" customWidth="1"/>
    <col min="13830" max="13830" width="9.28515625" bestFit="1" customWidth="1"/>
    <col min="13831" max="13832" width="9.7109375" bestFit="1" customWidth="1"/>
    <col min="14081" max="14081" width="55.28515625" customWidth="1"/>
    <col min="14082" max="14082" width="9.7109375" customWidth="1"/>
    <col min="14083" max="14083" width="12.140625" customWidth="1"/>
    <col min="14084" max="14084" width="10.5703125" bestFit="1" customWidth="1"/>
    <col min="14085" max="14085" width="9.140625" customWidth="1"/>
    <col min="14086" max="14086" width="9.28515625" bestFit="1" customWidth="1"/>
    <col min="14087" max="14088" width="9.7109375" bestFit="1" customWidth="1"/>
    <col min="14337" max="14337" width="55.28515625" customWidth="1"/>
    <col min="14338" max="14338" width="9.7109375" customWidth="1"/>
    <col min="14339" max="14339" width="12.140625" customWidth="1"/>
    <col min="14340" max="14340" width="10.5703125" bestFit="1" customWidth="1"/>
    <col min="14341" max="14341" width="9.140625" customWidth="1"/>
    <col min="14342" max="14342" width="9.28515625" bestFit="1" customWidth="1"/>
    <col min="14343" max="14344" width="9.7109375" bestFit="1" customWidth="1"/>
    <col min="14593" max="14593" width="55.28515625" customWidth="1"/>
    <col min="14594" max="14594" width="9.7109375" customWidth="1"/>
    <col min="14595" max="14595" width="12.140625" customWidth="1"/>
    <col min="14596" max="14596" width="10.5703125" bestFit="1" customWidth="1"/>
    <col min="14597" max="14597" width="9.140625" customWidth="1"/>
    <col min="14598" max="14598" width="9.28515625" bestFit="1" customWidth="1"/>
    <col min="14599" max="14600" width="9.7109375" bestFit="1" customWidth="1"/>
    <col min="14849" max="14849" width="55.28515625" customWidth="1"/>
    <col min="14850" max="14850" width="9.7109375" customWidth="1"/>
    <col min="14851" max="14851" width="12.140625" customWidth="1"/>
    <col min="14852" max="14852" width="10.5703125" bestFit="1" customWidth="1"/>
    <col min="14853" max="14853" width="9.140625" customWidth="1"/>
    <col min="14854" max="14854" width="9.28515625" bestFit="1" customWidth="1"/>
    <col min="14855" max="14856" width="9.7109375" bestFit="1" customWidth="1"/>
    <col min="15105" max="15105" width="55.28515625" customWidth="1"/>
    <col min="15106" max="15106" width="9.7109375" customWidth="1"/>
    <col min="15107" max="15107" width="12.140625" customWidth="1"/>
    <col min="15108" max="15108" width="10.5703125" bestFit="1" customWidth="1"/>
    <col min="15109" max="15109" width="9.140625" customWidth="1"/>
    <col min="15110" max="15110" width="9.28515625" bestFit="1" customWidth="1"/>
    <col min="15111" max="15112" width="9.7109375" bestFit="1" customWidth="1"/>
    <col min="15361" max="15361" width="55.28515625" customWidth="1"/>
    <col min="15362" max="15362" width="9.7109375" customWidth="1"/>
    <col min="15363" max="15363" width="12.140625" customWidth="1"/>
    <col min="15364" max="15364" width="10.5703125" bestFit="1" customWidth="1"/>
    <col min="15365" max="15365" width="9.140625" customWidth="1"/>
    <col min="15366" max="15366" width="9.28515625" bestFit="1" customWidth="1"/>
    <col min="15367" max="15368" width="9.7109375" bestFit="1" customWidth="1"/>
    <col min="15617" max="15617" width="55.28515625" customWidth="1"/>
    <col min="15618" max="15618" width="9.7109375" customWidth="1"/>
    <col min="15619" max="15619" width="12.140625" customWidth="1"/>
    <col min="15620" max="15620" width="10.5703125" bestFit="1" customWidth="1"/>
    <col min="15621" max="15621" width="9.140625" customWidth="1"/>
    <col min="15622" max="15622" width="9.28515625" bestFit="1" customWidth="1"/>
    <col min="15623" max="15624" width="9.7109375" bestFit="1" customWidth="1"/>
    <col min="15873" max="15873" width="55.28515625" customWidth="1"/>
    <col min="15874" max="15874" width="9.7109375" customWidth="1"/>
    <col min="15875" max="15875" width="12.140625" customWidth="1"/>
    <col min="15876" max="15876" width="10.5703125" bestFit="1" customWidth="1"/>
    <col min="15877" max="15877" width="9.140625" customWidth="1"/>
    <col min="15878" max="15878" width="9.28515625" bestFit="1" customWidth="1"/>
    <col min="15879" max="15880" width="9.7109375" bestFit="1" customWidth="1"/>
    <col min="16129" max="16129" width="55.28515625" customWidth="1"/>
    <col min="16130" max="16130" width="9.7109375" customWidth="1"/>
    <col min="16131" max="16131" width="12.140625" customWidth="1"/>
    <col min="16132" max="16132" width="10.5703125" bestFit="1" customWidth="1"/>
    <col min="16133" max="16133" width="9.140625" customWidth="1"/>
    <col min="16134" max="16134" width="9.28515625" bestFit="1" customWidth="1"/>
    <col min="16135" max="16136" width="9.7109375" bestFit="1" customWidth="1"/>
  </cols>
  <sheetData>
    <row r="1" spans="1:4" ht="20.25">
      <c r="A1" s="38" t="str">
        <f>HLOOKUP(INDICE!$F$2,Nombres!$C$3:$E$853,262)</f>
        <v>Coverage of real-estate exposure in Spain</v>
      </c>
    </row>
    <row r="2" spans="1:4">
      <c r="A2" s="194" t="str">
        <f>HLOOKUP(INDICE!$F$2,Nombres!$C$3:$E$853,243)</f>
        <v>(Million of euros as of 30-Sep-15)</v>
      </c>
      <c r="B2" s="195"/>
      <c r="C2" s="195"/>
      <c r="D2" s="195"/>
    </row>
    <row r="3" spans="1:4">
      <c r="A3"/>
      <c r="B3" s="196"/>
      <c r="C3" s="196"/>
      <c r="D3" s="196"/>
    </row>
    <row r="4" spans="1:4">
      <c r="A4"/>
      <c r="B4" s="197"/>
      <c r="C4" s="197"/>
      <c r="D4" s="197"/>
    </row>
    <row r="5" spans="1:4" ht="51">
      <c r="A5" s="198"/>
      <c r="B5" s="199" t="str">
        <f>HLOOKUP(INDICE!$F$2,Nombres!$C$3:$E$853,244)</f>
        <v>Risk amount</v>
      </c>
      <c r="C5" s="200" t="str">
        <f>HLOOKUP(INDICE!$F$2,Nombres!$C$3:$E$853,245)</f>
        <v>Provision</v>
      </c>
      <c r="D5" s="201" t="str">
        <f>HLOOKUP(INDICE!$F$2,Nombres!$C$3:$E$853,246)</f>
        <v>% Coverage over risk</v>
      </c>
    </row>
    <row r="6" spans="1:4">
      <c r="A6" s="202" t="str">
        <f>HLOOKUP(INDICE!$F$2,Nombres!$C$3:$E$853,247)</f>
        <v>NPL + Substandard</v>
      </c>
      <c r="B6" s="83">
        <v>7668</v>
      </c>
      <c r="C6" s="83">
        <v>4198</v>
      </c>
      <c r="D6" s="83">
        <v>54.747000521648403</v>
      </c>
    </row>
    <row r="7" spans="1:4">
      <c r="A7" s="203" t="str">
        <f>HLOOKUP(INDICE!$F$2,Nombres!$C$3:$E$853,248)</f>
        <v xml:space="preserve">  NPL</v>
      </c>
      <c r="B7" s="204">
        <v>6760</v>
      </c>
      <c r="C7" s="204">
        <v>3912</v>
      </c>
      <c r="D7" s="204">
        <v>57.869822485207102</v>
      </c>
    </row>
    <row r="8" spans="1:4">
      <c r="A8" s="203" t="str">
        <f>HLOOKUP(INDICE!$F$2,Nombres!$C$3:$E$853,249)</f>
        <v xml:space="preserve">  Substandard</v>
      </c>
      <c r="B8" s="204">
        <v>908</v>
      </c>
      <c r="C8" s="204">
        <v>286</v>
      </c>
      <c r="D8" s="204">
        <v>31.497797356828194</v>
      </c>
    </row>
    <row r="9" spans="1:4">
      <c r="A9" s="202" t="str">
        <f>HLOOKUP(INDICE!$F$2,Nombres!$C$3:$E$853,250)</f>
        <v>Foreclosed real-estate and other assets</v>
      </c>
      <c r="B9" s="83">
        <v>15265</v>
      </c>
      <c r="C9" s="83">
        <v>8629</v>
      </c>
      <c r="D9" s="83">
        <v>56.528005240746801</v>
      </c>
    </row>
    <row r="10" spans="1:4">
      <c r="A10" s="203" t="str">
        <f>HLOOKUP(INDICE!$F$2,Nombres!$C$3:$E$853,251)</f>
        <v xml:space="preserve">  From real-estate developers</v>
      </c>
      <c r="B10" s="204">
        <v>9101</v>
      </c>
      <c r="C10" s="204">
        <v>5384</v>
      </c>
      <c r="D10" s="204">
        <v>59.158334248983621</v>
      </c>
    </row>
    <row r="11" spans="1:4">
      <c r="A11" s="203" t="str">
        <f>HLOOKUP(INDICE!$F$2,Nombres!$C$3:$E$853,252)</f>
        <v xml:space="preserve">  From dwellings</v>
      </c>
      <c r="B11" s="204">
        <v>4837</v>
      </c>
      <c r="C11" s="204">
        <v>2596</v>
      </c>
      <c r="D11" s="204">
        <v>53.669629935910692</v>
      </c>
    </row>
    <row r="12" spans="1:4">
      <c r="A12" s="203" t="str">
        <f>HLOOKUP(INDICE!$F$2,Nombres!$C$3:$E$853,253)</f>
        <v xml:space="preserve">  Other</v>
      </c>
      <c r="B12" s="204">
        <v>1327</v>
      </c>
      <c r="C12" s="204">
        <v>649</v>
      </c>
      <c r="D12" s="204">
        <v>48.907309721175587</v>
      </c>
    </row>
    <row r="13" spans="1:4">
      <c r="A13" s="202" t="str">
        <f>HLOOKUP(INDICE!$F$2,Nombres!$C$3:$E$853,254)</f>
        <v>Subtotal</v>
      </c>
      <c r="B13" s="83">
        <v>22933</v>
      </c>
      <c r="C13" s="83">
        <v>12827</v>
      </c>
      <c r="D13" s="83">
        <v>55.932499018881089</v>
      </c>
    </row>
    <row r="14" spans="1:4">
      <c r="A14" s="202" t="str">
        <f>HLOOKUP(INDICE!$F$2,Nombres!$C$3:$E$853,255)</f>
        <v>Performing</v>
      </c>
      <c r="B14" s="83">
        <v>2729.4588368200002</v>
      </c>
      <c r="C14" s="205"/>
      <c r="D14" s="205"/>
    </row>
    <row r="15" spans="1:4">
      <c r="A15" s="206" t="str">
        <f>HLOOKUP(INDICE!$F$2,Nombres!$C$3:$E$853,256)</f>
        <v xml:space="preserve">  With collateral</v>
      </c>
      <c r="B15" s="204">
        <v>2369.4109706300001</v>
      </c>
      <c r="C15" s="204"/>
      <c r="D15" s="204"/>
    </row>
    <row r="16" spans="1:4">
      <c r="A16" s="207" t="str">
        <f>HLOOKUP(INDICE!$F$2,Nombres!$C$3:$E$853,257)</f>
        <v xml:space="preserve">    Finished properties</v>
      </c>
      <c r="B16" s="204">
        <v>1832.54256878</v>
      </c>
      <c r="C16" s="204"/>
      <c r="D16" s="204"/>
    </row>
    <row r="17" spans="1:4">
      <c r="A17" s="207" t="str">
        <f>HLOOKUP(INDICE!$F$2,Nombres!$C$3:$E$853,258)</f>
        <v xml:space="preserve">    Construction in progress</v>
      </c>
      <c r="B17" s="204">
        <v>305.59569582</v>
      </c>
      <c r="C17" s="204"/>
      <c r="D17" s="204"/>
    </row>
    <row r="18" spans="1:4">
      <c r="A18" s="207" t="str">
        <f>HLOOKUP(INDICE!$F$2,Nombres!$C$3:$E$853,259)</f>
        <v xml:space="preserve">    Land</v>
      </c>
      <c r="B18" s="204">
        <v>231.27270602999999</v>
      </c>
      <c r="C18" s="204"/>
      <c r="D18" s="204"/>
    </row>
    <row r="19" spans="1:4">
      <c r="A19" s="206" t="str">
        <f>HLOOKUP(INDICE!$F$2,Nombres!$C$3:$E$853,260)</f>
        <v xml:space="preserve">  Without collateral and other</v>
      </c>
      <c r="B19" s="204">
        <v>360.04786619000004</v>
      </c>
      <c r="C19" s="204"/>
      <c r="D19" s="204"/>
    </row>
    <row r="20" spans="1:4">
      <c r="A20" s="202" t="str">
        <f>HLOOKUP(INDICE!$F$2,Nombres!$C$3:$E$853,261)</f>
        <v>Real-estate exposure</v>
      </c>
      <c r="B20" s="83">
        <v>25662.458836819998</v>
      </c>
      <c r="C20" s="83">
        <v>12827</v>
      </c>
      <c r="D20" s="83">
        <v>49.983519044543264</v>
      </c>
    </row>
    <row r="21" spans="1:4">
      <c r="A21" s="206"/>
    </row>
  </sheetData>
  <pageMargins left="0.7" right="0.7" top="0.75" bottom="0.75" header="0.3" footer="0.3"/>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H105"/>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HLOOKUP(INDICE!$F$2,Nombres!$C$3:$E$853,295)</f>
        <v xml:space="preserve">Turkey </v>
      </c>
    </row>
    <row r="2" spans="1:8" ht="18">
      <c r="A2" s="144" t="str">
        <f>HLOOKUP(INDICE!$F$2,Nombres!$C$3:$E$853,304)</f>
        <v>Income statement (*)</v>
      </c>
      <c r="B2" s="192"/>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146.34886950000001</v>
      </c>
      <c r="C6" s="83">
        <v>167.27188501000001</v>
      </c>
      <c r="D6" s="83">
        <v>196.55727318000001</v>
      </c>
      <c r="E6" s="148">
        <v>224.46315089000001</v>
      </c>
      <c r="F6" s="83">
        <v>210.40501202999999</v>
      </c>
      <c r="G6" s="83">
        <v>214.60152532000001</v>
      </c>
      <c r="H6" s="83">
        <v>895.37266418000002</v>
      </c>
    </row>
    <row r="7" spans="1:8">
      <c r="A7" s="49" t="str">
        <f>HLOOKUP(INDICE!$F$2,Nombres!$C$3:$E$853,39)</f>
        <v>Net fees and commissions</v>
      </c>
      <c r="B7" s="149">
        <v>41.73</v>
      </c>
      <c r="C7" s="84">
        <v>52.956000000000003</v>
      </c>
      <c r="D7" s="84">
        <v>47.693999999999996</v>
      </c>
      <c r="E7" s="150">
        <v>48.449999999999996</v>
      </c>
      <c r="F7" s="84">
        <v>49.620999999999995</v>
      </c>
      <c r="G7" s="84">
        <v>48.449999999999996</v>
      </c>
      <c r="H7" s="84">
        <v>169.39899998999999</v>
      </c>
    </row>
    <row r="8" spans="1:8">
      <c r="A8" s="49" t="str">
        <f>HLOOKUP(INDICE!$F$2,Nombres!$C$3:$E$853,40)</f>
        <v>Net trading income</v>
      </c>
      <c r="B8" s="149">
        <v>17.852</v>
      </c>
      <c r="C8" s="84">
        <v>8.0510000000000002</v>
      </c>
      <c r="D8" s="84">
        <v>-2.7030000000000003</v>
      </c>
      <c r="E8" s="150">
        <v>-21.917000000000002</v>
      </c>
      <c r="F8" s="84">
        <v>-14.707000000000001</v>
      </c>
      <c r="G8" s="84">
        <v>-7.0299999999999994</v>
      </c>
      <c r="H8" s="84">
        <v>-217.45799999999997</v>
      </c>
    </row>
    <row r="9" spans="1:8">
      <c r="A9" s="49" t="str">
        <f>HLOOKUP(INDICE!$F$2,Nombres!$C$3:$E$853,95)</f>
        <v>Other income/expenses</v>
      </c>
      <c r="B9" s="149">
        <v>3.7839999999999998</v>
      </c>
      <c r="C9" s="84">
        <v>3.6260000000000003</v>
      </c>
      <c r="D9" s="84">
        <v>4.3250000000000002</v>
      </c>
      <c r="E9" s="150">
        <v>5.9110000000000005</v>
      </c>
      <c r="F9" s="84">
        <v>4.7380000000000004</v>
      </c>
      <c r="G9" s="84">
        <v>4.2690000000000001</v>
      </c>
      <c r="H9" s="84">
        <v>13.477</v>
      </c>
    </row>
    <row r="10" spans="1:8">
      <c r="A10" s="54" t="str">
        <f>HLOOKUP(INDICE!$F$2,Nombres!$C$3:$E$853,44)</f>
        <v>Gross income</v>
      </c>
      <c r="B10" s="147">
        <v>209.71486949999999</v>
      </c>
      <c r="C10" s="83">
        <v>231.90488501000002</v>
      </c>
      <c r="D10" s="83">
        <v>245.87327318000001</v>
      </c>
      <c r="E10" s="148">
        <v>256.90715089000003</v>
      </c>
      <c r="F10" s="83">
        <v>250.05701203000001</v>
      </c>
      <c r="G10" s="83">
        <v>260.29052531999997</v>
      </c>
      <c r="H10" s="83">
        <v>860.7906641699999</v>
      </c>
    </row>
    <row r="11" spans="1:8">
      <c r="A11" s="49" t="str">
        <f>HLOOKUP(INDICE!$F$2,Nombres!$C$3:$E$853,45)</f>
        <v>Operating expenses</v>
      </c>
      <c r="B11" s="149">
        <v>-91.783929000000001</v>
      </c>
      <c r="C11" s="84">
        <v>-94.406953000000001</v>
      </c>
      <c r="D11" s="84">
        <v>-101.82176263740001</v>
      </c>
      <c r="E11" s="150">
        <v>-106.6560903626</v>
      </c>
      <c r="F11" s="84">
        <v>-109.90620700000001</v>
      </c>
      <c r="G11" s="84">
        <v>-111.40645599999999</v>
      </c>
      <c r="H11" s="84">
        <v>-464.92638497999997</v>
      </c>
    </row>
    <row r="12" spans="1:8">
      <c r="A12" s="49" t="str">
        <f>HLOOKUP(INDICE!$F$2,Nombres!$C$3:$E$853,46)</f>
        <v xml:space="preserve">  Administration expenses</v>
      </c>
      <c r="B12" s="149">
        <v>-83.521676999999997</v>
      </c>
      <c r="C12" s="84">
        <v>-85.716701</v>
      </c>
      <c r="D12" s="84">
        <v>-92.8525056374</v>
      </c>
      <c r="E12" s="150">
        <v>-97.385829362599992</v>
      </c>
      <c r="F12" s="84">
        <v>-100.33795500000001</v>
      </c>
      <c r="G12" s="84">
        <v>-102.403205</v>
      </c>
      <c r="H12" s="84">
        <v>-402.68612797999992</v>
      </c>
    </row>
    <row r="13" spans="1:8">
      <c r="A13" s="88" t="str">
        <f>HLOOKUP(INDICE!$F$2,Nombres!$C$3:$E$853,47)</f>
        <v xml:space="preserve">  Personnel expenses</v>
      </c>
      <c r="B13" s="149">
        <v>-46.930352999999997</v>
      </c>
      <c r="C13" s="84">
        <v>-50.525183999999996</v>
      </c>
      <c r="D13" s="84">
        <v>-52.746526000000003</v>
      </c>
      <c r="E13" s="150">
        <v>-51.644427</v>
      </c>
      <c r="F13" s="84">
        <v>-56.248039999999996</v>
      </c>
      <c r="G13" s="84">
        <v>-55.285052999999998</v>
      </c>
      <c r="H13" s="84">
        <v>-236.58512297999999</v>
      </c>
    </row>
    <row r="14" spans="1:8">
      <c r="A14" s="88" t="str">
        <f>HLOOKUP(INDICE!$F$2,Nombres!$C$3:$E$853,48)</f>
        <v xml:space="preserve">  General and administrative expenses</v>
      </c>
      <c r="B14" s="149">
        <v>-36.591324</v>
      </c>
      <c r="C14" s="84">
        <v>-35.191516999999997</v>
      </c>
      <c r="D14" s="84">
        <v>-40.105979637399997</v>
      </c>
      <c r="E14" s="150">
        <v>-45.741402362599999</v>
      </c>
      <c r="F14" s="84">
        <v>-44.089914999999998</v>
      </c>
      <c r="G14" s="84">
        <v>-47.118152000000002</v>
      </c>
      <c r="H14" s="84">
        <v>-166.10100499999999</v>
      </c>
    </row>
    <row r="15" spans="1:8" ht="13.5" customHeight="1">
      <c r="A15" s="49" t="str">
        <f>HLOOKUP(INDICE!$F$2,Nombres!$C$3:$E$853,49)</f>
        <v xml:space="preserve">  Depreciation and amortization</v>
      </c>
      <c r="B15" s="149">
        <v>-8.2622520000000002</v>
      </c>
      <c r="C15" s="84">
        <v>-8.690252000000001</v>
      </c>
      <c r="D15" s="84">
        <v>-8.9692569999999989</v>
      </c>
      <c r="E15" s="150">
        <v>-9.2702609999999996</v>
      </c>
      <c r="F15" s="84">
        <v>-9.5682520000000011</v>
      </c>
      <c r="G15" s="84">
        <v>-9.0032510000000006</v>
      </c>
      <c r="H15" s="84">
        <v>-62.240257</v>
      </c>
    </row>
    <row r="16" spans="1:8" ht="12.75" customHeight="1">
      <c r="A16" s="54" t="str">
        <f>HLOOKUP(INDICE!$F$2,Nombres!$C$3:$E$853,50)</f>
        <v>Operating income</v>
      </c>
      <c r="B16" s="147">
        <v>117.93094049999999</v>
      </c>
      <c r="C16" s="83">
        <v>137.49793201</v>
      </c>
      <c r="D16" s="83">
        <v>144.0515105426</v>
      </c>
      <c r="E16" s="148">
        <v>150.2510605274</v>
      </c>
      <c r="F16" s="83">
        <v>140.15080502999999</v>
      </c>
      <c r="G16" s="83">
        <v>148.88406932000001</v>
      </c>
      <c r="H16" s="83">
        <v>395.86427918999999</v>
      </c>
    </row>
    <row r="17" spans="1:8" ht="13.5" customHeight="1">
      <c r="A17" s="49" t="str">
        <f>HLOOKUP(INDICE!$F$2,Nombres!$C$3:$E$853,51)</f>
        <v>Impairment on financial assets (net)</v>
      </c>
      <c r="B17" s="149">
        <v>-25.16</v>
      </c>
      <c r="C17" s="84">
        <v>-25.331000000000003</v>
      </c>
      <c r="D17" s="84">
        <v>-50.100999999999999</v>
      </c>
      <c r="E17" s="150">
        <v>-45.805</v>
      </c>
      <c r="F17" s="84">
        <v>-33.067999999999998</v>
      </c>
      <c r="G17" s="84">
        <v>-37.912999999999997</v>
      </c>
      <c r="H17" s="84">
        <v>-152.727</v>
      </c>
    </row>
    <row r="18" spans="1:8" ht="13.5" customHeight="1">
      <c r="A18" s="49" t="str">
        <f>HLOOKUP(INDICE!$F$2,Nombres!$C$3:$E$853,160)</f>
        <v>Provisions (net) and other gains/losses</v>
      </c>
      <c r="B18" s="149">
        <v>-4.5600000000000005</v>
      </c>
      <c r="C18" s="84">
        <v>-4.3740000000000006</v>
      </c>
      <c r="D18" s="84">
        <v>6.8929999999999998</v>
      </c>
      <c r="E18" s="150">
        <v>-9.0239999999999991</v>
      </c>
      <c r="F18" s="84">
        <v>-0.47799999999999987</v>
      </c>
      <c r="G18" s="84">
        <v>1.0269999999999997</v>
      </c>
      <c r="H18" s="84">
        <v>-1.7940000000000007</v>
      </c>
    </row>
    <row r="19" spans="1:8" ht="12.75" customHeight="1">
      <c r="A19" s="54" t="str">
        <f>HLOOKUP(INDICE!$F$2,Nombres!$C$3:$E$853,54)</f>
        <v>Income before tax</v>
      </c>
      <c r="B19" s="147">
        <v>88.210940499999992</v>
      </c>
      <c r="C19" s="83">
        <v>107.79293201000002</v>
      </c>
      <c r="D19" s="83">
        <v>100.8435105426</v>
      </c>
      <c r="E19" s="148">
        <v>95.422060527399992</v>
      </c>
      <c r="F19" s="83">
        <v>106.60480502999999</v>
      </c>
      <c r="G19" s="83">
        <v>111.99806932</v>
      </c>
      <c r="H19" s="83">
        <v>241.34327919</v>
      </c>
    </row>
    <row r="20" spans="1:8" ht="13.5" customHeight="1">
      <c r="A20" s="49" t="str">
        <f>HLOOKUP(INDICE!$F$2,Nombres!$C$3:$E$853,55)</f>
        <v>Income tax</v>
      </c>
      <c r="B20" s="149">
        <v>-18.557582149999998</v>
      </c>
      <c r="C20" s="84">
        <v>-22.917379599999997</v>
      </c>
      <c r="D20" s="84">
        <v>-19.907787159999998</v>
      </c>
      <c r="E20" s="150">
        <v>-20.399074159999998</v>
      </c>
      <c r="F20" s="84">
        <v>-20.910441509999998</v>
      </c>
      <c r="G20" s="84">
        <v>-23.258720789999998</v>
      </c>
      <c r="H20" s="84">
        <v>-41.106282059999998</v>
      </c>
    </row>
    <row r="21" spans="1:8" ht="13.5" customHeight="1">
      <c r="A21" s="54" t="str">
        <f>HLOOKUP(INDICE!$F$2,Nombres!$C$3:$E$853,56)</f>
        <v>Net income</v>
      </c>
      <c r="B21" s="147">
        <v>69.653358349999991</v>
      </c>
      <c r="C21" s="83">
        <v>84.875552409999997</v>
      </c>
      <c r="D21" s="83">
        <v>80.935723382600003</v>
      </c>
      <c r="E21" s="148">
        <v>75.022986367399994</v>
      </c>
      <c r="F21" s="83">
        <v>85.694363519999996</v>
      </c>
      <c r="G21" s="83">
        <v>88.739348530000001</v>
      </c>
      <c r="H21" s="83">
        <v>200.23699712999996</v>
      </c>
    </row>
    <row r="22" spans="1:8" ht="12" customHeight="1">
      <c r="A22" s="49" t="str">
        <f>HLOOKUP(INDICE!$F$2,Nombres!$C$3:$E$853,57)</f>
        <v>Non-controlling interests</v>
      </c>
      <c r="B22" s="241">
        <v>0</v>
      </c>
      <c r="C22" s="236">
        <v>0</v>
      </c>
      <c r="D22" s="236">
        <v>0</v>
      </c>
      <c r="E22" s="237">
        <v>0</v>
      </c>
      <c r="F22" s="236">
        <v>0</v>
      </c>
      <c r="G22" s="236">
        <v>0</v>
      </c>
      <c r="H22" s="84">
        <v>-125.18200000000002</v>
      </c>
    </row>
    <row r="23" spans="1:8" ht="14.25" customHeight="1">
      <c r="A23" s="54" t="str">
        <f>HLOOKUP(INDICE!$F$2,Nombres!$C$3:$E$853,58)</f>
        <v>Net attributable profit</v>
      </c>
      <c r="B23" s="147">
        <v>69.653358349999991</v>
      </c>
      <c r="C23" s="83">
        <v>84.875552409999997</v>
      </c>
      <c r="D23" s="83">
        <v>80.935723382600003</v>
      </c>
      <c r="E23" s="148">
        <v>75.022986367399994</v>
      </c>
      <c r="F23" s="83">
        <v>85.694363519999996</v>
      </c>
      <c r="G23" s="83">
        <v>88.739348530000001</v>
      </c>
      <c r="H23" s="83">
        <v>75.054997130000004</v>
      </c>
    </row>
    <row r="24" spans="1:8" ht="39" customHeight="1">
      <c r="A24" s="251" t="str">
        <f>HLOOKUP(INDICE!$F$2,Nombres!$C$3:$E$853,289)</f>
        <v>(*) Since the third quarter of 2015, BBVA's total stake in Garanti is consolidated by the full integration method. For previous periods, Garanti's revenues and costs are integrated in the proportion corresponding to the percentage of the Group's stake (25.01%).</v>
      </c>
      <c r="B24" s="251"/>
      <c r="C24" s="251"/>
      <c r="D24" s="251"/>
      <c r="E24" s="251"/>
      <c r="F24" s="251"/>
      <c r="G24" s="251"/>
      <c r="H24" s="251"/>
    </row>
    <row r="25" spans="1:8" ht="12.75" customHeight="1">
      <c r="A25" s="144" t="str">
        <f>HLOOKUP(INDICE!$F$2,Nombres!$C$3:$E$853,293)</f>
        <v xml:space="preserve">Balance sheet (*)  </v>
      </c>
      <c r="B25" s="192"/>
      <c r="C25" s="170"/>
      <c r="D25" s="170"/>
      <c r="E25" s="170"/>
      <c r="F25" s="170"/>
      <c r="G25" s="170"/>
      <c r="H25" s="170"/>
    </row>
    <row r="26" spans="1:8" ht="13.5" customHeight="1">
      <c r="A26" s="41" t="str">
        <f>HLOOKUP(INDICE!$F$2,Nombres!$C$3:$E$853,30)</f>
        <v>(Million euros)</v>
      </c>
      <c r="B26" s="81">
        <v>41729</v>
      </c>
      <c r="C26" s="82">
        <v>41820</v>
      </c>
      <c r="D26" s="82">
        <v>41912</v>
      </c>
      <c r="E26" s="82">
        <v>42004</v>
      </c>
      <c r="F26" s="81">
        <v>42094</v>
      </c>
      <c r="G26" s="82">
        <v>42185</v>
      </c>
      <c r="H26" s="82">
        <v>42277</v>
      </c>
    </row>
    <row r="27" spans="1:8">
      <c r="A27" s="49" t="str">
        <f>HLOOKUP(INDICE!$F$2,Nombres!$C$3:$E$853,100)</f>
        <v>Cash and balances with central banks</v>
      </c>
      <c r="B27" s="149">
        <v>2023.8420000000001</v>
      </c>
      <c r="C27" s="84">
        <v>2205.8809999999999</v>
      </c>
      <c r="D27" s="84">
        <v>2226.152</v>
      </c>
      <c r="E27" s="150">
        <v>2478.34</v>
      </c>
      <c r="F27" s="84">
        <v>2430.1469999999999</v>
      </c>
      <c r="G27" s="84">
        <v>2316.5509999999999</v>
      </c>
      <c r="H27" s="84">
        <v>10434.996999999999</v>
      </c>
    </row>
    <row r="28" spans="1:8">
      <c r="A28" s="49" t="str">
        <f>HLOOKUP(INDICE!$F$2,Nombres!$C$3:$E$853,101)</f>
        <v>Financial assets</v>
      </c>
      <c r="B28" s="149">
        <v>3847.7910000000002</v>
      </c>
      <c r="C28" s="84">
        <v>4122.3959999999997</v>
      </c>
      <c r="D28" s="84">
        <v>4282.2110000000002</v>
      </c>
      <c r="E28" s="150">
        <v>4508.1210000000001</v>
      </c>
      <c r="F28" s="84">
        <v>4469.3050000000003</v>
      </c>
      <c r="G28" s="84">
        <v>4298.3500000000004</v>
      </c>
      <c r="H28" s="84">
        <v>15810.384</v>
      </c>
    </row>
    <row r="29" spans="1:8">
      <c r="A29" s="49" t="str">
        <f>HLOOKUP(INDICE!$F$2,Nombres!$C$3:$E$853,102)</f>
        <v>Loans and receivables</v>
      </c>
      <c r="B29" s="149">
        <v>12747.96</v>
      </c>
      <c r="C29" s="84">
        <v>13095.614</v>
      </c>
      <c r="D29" s="84">
        <v>13997.549000000001</v>
      </c>
      <c r="E29" s="150">
        <v>14464.214</v>
      </c>
      <c r="F29" s="84">
        <v>15748.941000000001</v>
      </c>
      <c r="G29" s="84">
        <v>15036.8</v>
      </c>
      <c r="H29" s="84">
        <v>57719.224000000002</v>
      </c>
    </row>
    <row r="30" spans="1:8">
      <c r="A30" s="49" t="str">
        <f>HLOOKUP(INDICE!$F$2,Nombres!$C$3:$E$853,103)</f>
        <v xml:space="preserve">  . Loans and advances to customers</v>
      </c>
      <c r="B30" s="149">
        <v>11334.891</v>
      </c>
      <c r="C30" s="84">
        <v>11823.876</v>
      </c>
      <c r="D30" s="84">
        <v>12633.233</v>
      </c>
      <c r="E30" s="150">
        <v>13097.802</v>
      </c>
      <c r="F30" s="84">
        <v>14176.656000000001</v>
      </c>
      <c r="G30" s="84">
        <v>13796.26</v>
      </c>
      <c r="H30" s="84">
        <v>52230.521000000001</v>
      </c>
    </row>
    <row r="31" spans="1:8">
      <c r="A31" s="49" t="str">
        <f>HLOOKUP(INDICE!$F$2,Nombres!$C$3:$E$853,104)</f>
        <v xml:space="preserve">  . Loans and advances to credit institutions and other</v>
      </c>
      <c r="B31" s="154">
        <v>1413.069</v>
      </c>
      <c r="C31" s="84">
        <v>1271.7379999999998</v>
      </c>
      <c r="D31" s="84">
        <v>1364.3159999999998</v>
      </c>
      <c r="E31" s="150">
        <v>1366.412</v>
      </c>
      <c r="F31" s="84">
        <v>1572.2849999999999</v>
      </c>
      <c r="G31" s="84">
        <v>1240.54</v>
      </c>
      <c r="H31" s="84">
        <v>5488.7029999999995</v>
      </c>
    </row>
    <row r="32" spans="1:8">
      <c r="A32" s="49" t="str">
        <f>HLOOKUP(INDICE!$F$2,Nombres!$C$3:$E$853,106)</f>
        <v>Tangible assets</v>
      </c>
      <c r="B32" s="155">
        <v>175.142</v>
      </c>
      <c r="C32" s="84">
        <v>180.999</v>
      </c>
      <c r="D32" s="84">
        <v>181.238</v>
      </c>
      <c r="E32" s="150">
        <v>194.404</v>
      </c>
      <c r="F32" s="84">
        <v>192.62200000000001</v>
      </c>
      <c r="G32" s="84">
        <v>182.77</v>
      </c>
      <c r="H32" s="84">
        <v>850.61900000000003</v>
      </c>
    </row>
    <row r="33" spans="1:8">
      <c r="A33" s="49" t="str">
        <f>HLOOKUP(INDICE!$F$2,Nombres!$C$3:$E$853,107)</f>
        <v>Other assets</v>
      </c>
      <c r="B33" s="149">
        <v>635.71299999999997</v>
      </c>
      <c r="C33" s="84">
        <v>618.89999999999986</v>
      </c>
      <c r="D33" s="84">
        <v>669.11000000000013</v>
      </c>
      <c r="E33" s="150">
        <v>697.22199999999998</v>
      </c>
      <c r="F33" s="84">
        <v>779.40499999999997</v>
      </c>
      <c r="G33" s="84">
        <v>664.51600000000008</v>
      </c>
      <c r="H33" s="84">
        <v>2550.0667915699887</v>
      </c>
    </row>
    <row r="34" spans="1:8">
      <c r="A34" s="54" t="str">
        <f>HLOOKUP(INDICE!$F$2,Nombres!$C$3:$E$853,108)</f>
        <v>Total assets / Liabilities and equity</v>
      </c>
      <c r="B34" s="147">
        <v>19430.447999999997</v>
      </c>
      <c r="C34" s="83">
        <v>20223.79</v>
      </c>
      <c r="D34" s="83">
        <v>21356.260000000006</v>
      </c>
      <c r="E34" s="148">
        <v>22342.300999999996</v>
      </c>
      <c r="F34" s="83">
        <v>23620.42</v>
      </c>
      <c r="G34" s="83">
        <v>22498.987000000001</v>
      </c>
      <c r="H34" s="83">
        <v>87365.290791569991</v>
      </c>
    </row>
    <row r="35" spans="1:8">
      <c r="A35" s="49" t="str">
        <f>HLOOKUP(INDICE!$F$2,Nombres!$C$3:$E$853,109)</f>
        <v>Deposits from central banks and credit institutions</v>
      </c>
      <c r="B35" s="149">
        <v>4407.1009999999997</v>
      </c>
      <c r="C35" s="84">
        <v>4218.8</v>
      </c>
      <c r="D35" s="84">
        <v>4619.1540000000005</v>
      </c>
      <c r="E35" s="150">
        <v>4373.9040000000005</v>
      </c>
      <c r="F35" s="84">
        <v>4348.66</v>
      </c>
      <c r="G35" s="84">
        <v>4230.7110000000002</v>
      </c>
      <c r="H35" s="84">
        <v>15888.111999999999</v>
      </c>
    </row>
    <row r="36" spans="1:8">
      <c r="A36" s="49" t="str">
        <f>HLOOKUP(INDICE!$F$2,Nombres!$C$3:$E$853,110)</f>
        <v>Deposits from customers</v>
      </c>
      <c r="B36" s="149">
        <v>10132.687</v>
      </c>
      <c r="C36" s="84">
        <v>10354.254000000001</v>
      </c>
      <c r="D36" s="84">
        <v>10709.601000000001</v>
      </c>
      <c r="E36" s="150">
        <v>11625.644</v>
      </c>
      <c r="F36" s="84">
        <v>12507.075999999999</v>
      </c>
      <c r="G36" s="84">
        <v>12018.362999999999</v>
      </c>
      <c r="H36" s="84">
        <v>46388.406999999999</v>
      </c>
    </row>
    <row r="37" spans="1:8">
      <c r="A37" s="49" t="str">
        <f>HLOOKUP(INDICE!$F$2,Nombres!$C$3:$E$853,111)</f>
        <v>Debt certificates</v>
      </c>
      <c r="B37" s="149">
        <v>940.41499999999996</v>
      </c>
      <c r="C37" s="84">
        <v>1139.0139999999999</v>
      </c>
      <c r="D37" s="84">
        <v>1291.1489999999999</v>
      </c>
      <c r="E37" s="150">
        <v>1297.318</v>
      </c>
      <c r="F37" s="84">
        <v>1306.1030000000001</v>
      </c>
      <c r="G37" s="84">
        <v>1257.7339999999999</v>
      </c>
      <c r="H37" s="84">
        <v>7830.4350000000004</v>
      </c>
    </row>
    <row r="38" spans="1:8" ht="13.5" customHeight="1">
      <c r="A38" s="49" t="str">
        <f>HLOOKUP(INDICE!$F$2,Nombres!$C$3:$E$853,112)</f>
        <v>Subordinated liabilities</v>
      </c>
      <c r="B38" s="149">
        <v>23.295999999999999</v>
      </c>
      <c r="C38" s="84">
        <v>23.667000000000002</v>
      </c>
      <c r="D38" s="84">
        <v>23.154</v>
      </c>
      <c r="E38" s="150">
        <v>23.353999999999999</v>
      </c>
      <c r="F38" s="84">
        <v>22.931999999999999</v>
      </c>
      <c r="G38" s="84">
        <v>22.875</v>
      </c>
      <c r="H38" s="84">
        <v>51.216999999999999</v>
      </c>
    </row>
    <row r="39" spans="1:8">
      <c r="A39" s="49" t="str">
        <f>HLOOKUP(INDICE!$F$2,Nombres!$C$3:$E$853,114)</f>
        <v xml:space="preserve">Financial liabilities held for trading </v>
      </c>
      <c r="B39" s="149">
        <v>165.523</v>
      </c>
      <c r="C39" s="84">
        <v>119.95399999999999</v>
      </c>
      <c r="D39" s="84">
        <v>167.76599999999999</v>
      </c>
      <c r="E39" s="150">
        <v>191.74600000000001</v>
      </c>
      <c r="F39" s="84">
        <v>372.90800000000002</v>
      </c>
      <c r="G39" s="84">
        <v>241.804</v>
      </c>
      <c r="H39" s="84">
        <v>1105.3219999999999</v>
      </c>
    </row>
    <row r="40" spans="1:8">
      <c r="A40" s="49" t="str">
        <f>HLOOKUP(INDICE!$F$2,Nombres!$C$3:$E$853,115)</f>
        <v>Other liabilities</v>
      </c>
      <c r="B40" s="149">
        <v>2972.8192699999918</v>
      </c>
      <c r="C40" s="84">
        <v>3547.5556199999992</v>
      </c>
      <c r="D40" s="84">
        <v>3684.7637486900071</v>
      </c>
      <c r="E40" s="150">
        <v>3912.6794688299947</v>
      </c>
      <c r="F40" s="84">
        <v>4119.981060000001</v>
      </c>
      <c r="G40" s="84">
        <v>3725.3404000000046</v>
      </c>
      <c r="H40" s="84">
        <v>14554.683574230001</v>
      </c>
    </row>
    <row r="41" spans="1:8" ht="12.75" customHeight="1">
      <c r="A41" s="49" t="str">
        <f>HLOOKUP(INDICE!$F$2,Nombres!$C$3:$E$853,116)</f>
        <v>Economic capital allocated</v>
      </c>
      <c r="B41" s="149">
        <v>788.60672999999997</v>
      </c>
      <c r="C41" s="84">
        <v>820.54538000000002</v>
      </c>
      <c r="D41" s="84">
        <v>860.67225130999998</v>
      </c>
      <c r="E41" s="150">
        <v>917.65553117000002</v>
      </c>
      <c r="F41" s="84">
        <v>942.75994000000003</v>
      </c>
      <c r="G41" s="84">
        <v>1002.1596</v>
      </c>
      <c r="H41" s="84">
        <v>1547.1142173400001</v>
      </c>
    </row>
    <row r="42" spans="1:8" ht="48" customHeight="1">
      <c r="A42" s="251" t="str">
        <f>HLOOKUP(INDICE!$F$2,Nombres!$C$3:$E$853,316)</f>
        <v>(*) Since the third quarter of 2015, BBVA’s total stake in Garanti is consolidated by the full integration method. For previous periods, Garanti’s assets and liabilities are integrated in the proportion corresponding to the percentage of the Group’s stake (25.01%).</v>
      </c>
      <c r="B42" s="251"/>
      <c r="C42" s="251"/>
      <c r="D42" s="251"/>
      <c r="E42" s="251"/>
      <c r="F42" s="251"/>
      <c r="G42" s="251"/>
      <c r="H42" s="251"/>
    </row>
    <row r="43" spans="1:8" ht="13.5" customHeight="1">
      <c r="A43" s="144" t="str">
        <f>HLOOKUP(INDICE!$F$2,Nombres!$C$3:$E$853,117)</f>
        <v>Relevant business indicators</v>
      </c>
      <c r="B43" s="170"/>
      <c r="C43" s="170"/>
      <c r="D43" s="170"/>
      <c r="E43" s="170"/>
      <c r="F43" s="170"/>
      <c r="G43" s="170"/>
      <c r="H43" s="170"/>
    </row>
    <row r="44" spans="1:8" ht="12.75" customHeight="1">
      <c r="A44" s="144" t="str">
        <f>HLOOKUP(INDICE!$F$2,Nombres!$C$3:$E$853,201)</f>
        <v>Annex:</v>
      </c>
    </row>
    <row r="45" spans="1:8" ht="12" customHeight="1">
      <c r="A45" s="41" t="str">
        <f>HLOOKUP(INDICE!$F$2,Nombres!$C$3:$E$853,30)</f>
        <v>(Million euros)</v>
      </c>
      <c r="B45" s="81">
        <v>41729</v>
      </c>
      <c r="C45" s="82">
        <v>41820</v>
      </c>
      <c r="D45" s="82">
        <v>41912</v>
      </c>
      <c r="E45" s="82">
        <v>42004</v>
      </c>
      <c r="F45" s="81">
        <v>42094</v>
      </c>
      <c r="G45" s="82">
        <v>42185</v>
      </c>
      <c r="H45" s="82">
        <v>42277</v>
      </c>
    </row>
    <row r="46" spans="1:8">
      <c r="A46" s="49" t="str">
        <f>HLOOKUP(INDICE!$F$2,Nombres!$C$3:$E$853,314)</f>
        <v>Loans and advances to customers gross (**)</v>
      </c>
      <c r="B46" s="149">
        <v>11775.187</v>
      </c>
      <c r="C46" s="84">
        <v>12270.794</v>
      </c>
      <c r="D46" s="84">
        <v>13117.258</v>
      </c>
      <c r="E46" s="150">
        <v>13634.606</v>
      </c>
      <c r="F46" s="84">
        <v>14741.394</v>
      </c>
      <c r="G46" s="84">
        <v>14355.491</v>
      </c>
      <c r="H46" s="84">
        <v>54322.978999999999</v>
      </c>
    </row>
    <row r="47" spans="1:8">
      <c r="A47" s="49" t="str">
        <f>HLOOKUP(INDICE!$F$2,Nombres!$C$3:$E$853,315)</f>
        <v>Customer deposits under management (***)</v>
      </c>
      <c r="B47" s="149">
        <v>9055.4374859500003</v>
      </c>
      <c r="C47" s="84">
        <v>8873.3461335699994</v>
      </c>
      <c r="D47" s="84">
        <v>9372.6080181199995</v>
      </c>
      <c r="E47" s="150">
        <v>10011.45487369</v>
      </c>
      <c r="F47" s="84">
        <v>11088.068025930001</v>
      </c>
      <c r="G47" s="84">
        <v>10964.57896957</v>
      </c>
      <c r="H47" s="84">
        <v>41731.379849919998</v>
      </c>
    </row>
    <row r="48" spans="1:8">
      <c r="A48" s="49" t="str">
        <f>HLOOKUP(INDICE!$F$2,Nombres!$C$3:$E$853,122)</f>
        <v>Mutual funds</v>
      </c>
      <c r="B48" s="149">
        <v>350.24700000000001</v>
      </c>
      <c r="C48" s="84">
        <v>373.54899999999998</v>
      </c>
      <c r="D48" s="84">
        <v>340.44600000000003</v>
      </c>
      <c r="E48" s="150">
        <v>343.76100000000002</v>
      </c>
      <c r="F48" s="84">
        <v>365.12599999999998</v>
      </c>
      <c r="G48" s="84">
        <v>352.35899999999998</v>
      </c>
      <c r="H48" s="84">
        <v>1231.5920000000001</v>
      </c>
    </row>
    <row r="49" spans="1:8">
      <c r="A49" s="49" t="str">
        <f>HLOOKUP(INDICE!$F$2,Nombres!$C$3:$E$853,206)</f>
        <v>Pension funds</v>
      </c>
      <c r="B49" s="149">
        <v>384.97699999999998</v>
      </c>
      <c r="C49" s="84">
        <v>444.32499999999999</v>
      </c>
      <c r="D49" s="84">
        <v>470.173</v>
      </c>
      <c r="E49" s="150">
        <v>537.91899999999998</v>
      </c>
      <c r="F49" s="84">
        <v>572.24800000000005</v>
      </c>
      <c r="G49" s="84">
        <v>563.24800000000005</v>
      </c>
      <c r="H49" s="84">
        <v>2052.3449999999998</v>
      </c>
    </row>
    <row r="50" spans="1:8">
      <c r="A50" s="49" t="str">
        <f>HLOOKUP(INDICE!$F$2,Nombres!$C$3:$E$853,308)</f>
        <v>Other off balance-sheet funds</v>
      </c>
      <c r="B50" s="241">
        <v>0</v>
      </c>
      <c r="C50" s="236">
        <v>0</v>
      </c>
      <c r="D50" s="236">
        <v>0</v>
      </c>
      <c r="E50" s="237">
        <v>0</v>
      </c>
      <c r="F50" s="236">
        <v>0</v>
      </c>
      <c r="G50" s="236">
        <v>0</v>
      </c>
      <c r="H50" s="236">
        <v>0</v>
      </c>
    </row>
    <row r="51" spans="1:8">
      <c r="A51" s="156" t="str">
        <f>HLOOKUP(INDICE!$F$2,Nombres!$C$3:$E$853,312)</f>
        <v xml:space="preserve">(**) Excluding repos. </v>
      </c>
      <c r="B51" s="157"/>
      <c r="C51" s="84"/>
      <c r="D51" s="84"/>
      <c r="E51" s="84"/>
      <c r="F51" s="84"/>
      <c r="G51" s="84"/>
      <c r="H51" s="84"/>
    </row>
    <row r="52" spans="1:8">
      <c r="A52" s="156" t="str">
        <f>HLOOKUP(INDICE!$F$2,Nombres!$C$3:$E$853,313)</f>
        <v xml:space="preserve">(***) Excluding repos. </v>
      </c>
      <c r="C52"/>
      <c r="D52"/>
      <c r="E52"/>
    </row>
    <row r="53" spans="1:8" ht="18">
      <c r="A53" s="144" t="str">
        <f>HLOOKUP(INDICE!$F$2,Nombres!$C$3:$E$853,304)</f>
        <v>Income statement (*)</v>
      </c>
      <c r="B53" s="192"/>
      <c r="C53" s="145"/>
      <c r="D53" s="145"/>
      <c r="E53" s="145"/>
      <c r="G53" s="74"/>
      <c r="H53" s="74"/>
    </row>
    <row r="54" spans="1:8">
      <c r="A54" s="41" t="str">
        <f>HLOOKUP(INDICE!$F$2,Nombres!$C$3:$E$853,31)</f>
        <v xml:space="preserve">(Constant million euros)    </v>
      </c>
      <c r="C54" s="145"/>
      <c r="D54" s="145"/>
      <c r="E54" s="145"/>
      <c r="G54" s="74"/>
      <c r="H54" s="74"/>
    </row>
    <row r="55" spans="1:8">
      <c r="A55" s="146"/>
      <c r="B55" s="252">
        <v>2014</v>
      </c>
      <c r="C55" s="252"/>
      <c r="D55" s="252"/>
      <c r="E55" s="252"/>
      <c r="F55" s="253">
        <v>2015</v>
      </c>
      <c r="G55" s="254"/>
      <c r="H55" s="254"/>
    </row>
    <row r="56" spans="1:8">
      <c r="A56" s="146"/>
      <c r="B56" s="146" t="str">
        <f>HLOOKUP(INDICE!$F$2,Nombres!$C$3:$E$857,34)</f>
        <v>1st Quarter</v>
      </c>
      <c r="C56" s="146" t="str">
        <f>HLOOKUP(INDICE!$F$2,Nombres!$C$3:$E$857,35)</f>
        <v>2nd Quarter</v>
      </c>
      <c r="D56" s="146" t="str">
        <f>HLOOKUP(INDICE!$F$2,Nombres!$C$3:$E$857,36)</f>
        <v>3rd Quarter</v>
      </c>
      <c r="E56" s="146" t="str">
        <f>HLOOKUP(INDICE!$F$2,Nombres!$C$3:$E$857,37)</f>
        <v>4th Quarter</v>
      </c>
      <c r="F56" s="146" t="str">
        <f>HLOOKUP(INDICE!$F$2,Nombres!$C$3:$E$857,34)</f>
        <v>1st Quarter</v>
      </c>
      <c r="G56" s="146" t="str">
        <f>HLOOKUP(INDICE!$F$2,Nombres!$C$3:$E$857,35)</f>
        <v>2nd Quarter</v>
      </c>
      <c r="H56" s="146" t="str">
        <f>HLOOKUP(INDICE!$F$2,Nombres!$C$3:$E$857,36)</f>
        <v>3rd Quarter</v>
      </c>
    </row>
    <row r="57" spans="1:8">
      <c r="A57" s="54" t="str">
        <f>HLOOKUP(INDICE!$F$2,Nombres!$C$3:$E$853,38)</f>
        <v>Net interest income</v>
      </c>
      <c r="B57" s="147">
        <v>149.65989312319999</v>
      </c>
      <c r="C57" s="83">
        <v>163.71514744019998</v>
      </c>
      <c r="D57" s="83">
        <v>190.4848293842</v>
      </c>
      <c r="E57" s="148">
        <v>215.05755859679999</v>
      </c>
      <c r="F57" s="54">
        <v>196.4553140246</v>
      </c>
      <c r="G57" s="54">
        <v>213.13464473049999</v>
      </c>
      <c r="H57" s="54">
        <v>910.78924277479996</v>
      </c>
    </row>
    <row r="58" spans="1:8">
      <c r="A58" s="49" t="str">
        <f>HLOOKUP(INDICE!$F$2,Nombres!$C$3:$E$853,39)</f>
        <v>Net fees and commissions</v>
      </c>
      <c r="B58" s="149">
        <v>42.674099868799999</v>
      </c>
      <c r="C58" s="84">
        <v>51.937717043899994</v>
      </c>
      <c r="D58" s="84">
        <v>46.004945171399996</v>
      </c>
      <c r="E58" s="150">
        <v>46.128916290600003</v>
      </c>
      <c r="F58" s="73">
        <v>46.3311795352</v>
      </c>
      <c r="G58" s="73">
        <v>48.182447039799996</v>
      </c>
      <c r="H58" s="73">
        <v>172.956373415</v>
      </c>
    </row>
    <row r="59" spans="1:8">
      <c r="A59" s="49" t="str">
        <f>HLOOKUP(INDICE!$F$2,Nombres!$C$3:$E$853,40)</f>
        <v>Net trading income</v>
      </c>
      <c r="B59" s="149">
        <v>18.255883797200003</v>
      </c>
      <c r="C59" s="84">
        <v>7.6268221307000008</v>
      </c>
      <c r="D59" s="84">
        <v>-2.9700153790999999</v>
      </c>
      <c r="E59" s="150">
        <v>-21.657150511499999</v>
      </c>
      <c r="F59" s="73">
        <v>-13.7319412632</v>
      </c>
      <c r="G59" s="73">
        <v>-7.2165827739999999</v>
      </c>
      <c r="H59" s="73">
        <v>-218.2464759627</v>
      </c>
    </row>
    <row r="60" spans="1:8" ht="17.25" customHeight="1">
      <c r="A60" s="49" t="str">
        <f>HLOOKUP(INDICE!$F$2,Nombres!$C$3:$E$853,95)</f>
        <v>Other income/expenses</v>
      </c>
      <c r="B60" s="149">
        <v>3.8696092476000001</v>
      </c>
      <c r="C60" s="84">
        <v>3.5345852830000002</v>
      </c>
      <c r="D60" s="84">
        <v>4.1854789001999997</v>
      </c>
      <c r="E60" s="150">
        <v>5.6786504209000004</v>
      </c>
      <c r="F60" s="73">
        <v>4.4238755493999999</v>
      </c>
      <c r="G60" s="73">
        <v>4.2564094946999997</v>
      </c>
      <c r="H60" s="73">
        <v>13.8037149558</v>
      </c>
    </row>
    <row r="61" spans="1:8" ht="15.75" customHeight="1">
      <c r="A61" s="54" t="str">
        <f>HLOOKUP(INDICE!$F$2,Nombres!$C$3:$E$853,44)</f>
        <v>Gross income</v>
      </c>
      <c r="B61" s="147">
        <v>214.45948603689999</v>
      </c>
      <c r="C61" s="83">
        <v>226.81427189779998</v>
      </c>
      <c r="D61" s="83">
        <v>237.70523807660004</v>
      </c>
      <c r="E61" s="148">
        <v>245.20797479689998</v>
      </c>
      <c r="F61" s="54">
        <v>233.47842784600002</v>
      </c>
      <c r="G61" s="54">
        <v>258.35691849099999</v>
      </c>
      <c r="H61" s="54">
        <v>879.30285518309995</v>
      </c>
    </row>
    <row r="62" spans="1:8">
      <c r="A62" s="49" t="str">
        <f>HLOOKUP(INDICE!$F$2,Nombres!$C$3:$E$853,45)</f>
        <v>Operating expenses</v>
      </c>
      <c r="B62" s="149">
        <v>-93.834501245699997</v>
      </c>
      <c r="C62" s="84">
        <v>-92.211428133200002</v>
      </c>
      <c r="D62" s="84">
        <v>-98.423564993900001</v>
      </c>
      <c r="E62" s="150">
        <v>-101.816261989</v>
      </c>
      <c r="F62" s="73">
        <v>-102.69009609880001</v>
      </c>
      <c r="G62" s="73">
        <v>-110.6699759243</v>
      </c>
      <c r="H62" s="73">
        <v>-472.87897595689998</v>
      </c>
    </row>
    <row r="63" spans="1:8">
      <c r="A63" s="49" t="str">
        <f>HLOOKUP(INDICE!$F$2,Nombres!$C$3:$E$853,46)</f>
        <v xml:space="preserve">  Administration expenses</v>
      </c>
      <c r="B63" s="149">
        <v>-85.385329688500008</v>
      </c>
      <c r="C63" s="84">
        <v>-83.721376974700007</v>
      </c>
      <c r="D63" s="84">
        <v>-89.762033100899998</v>
      </c>
      <c r="E63" s="150">
        <v>-92.978185198099993</v>
      </c>
      <c r="F63" s="73">
        <v>-93.756192503899996</v>
      </c>
      <c r="G63" s="73">
        <v>-101.70601074219999</v>
      </c>
      <c r="H63" s="73">
        <v>-409.96508473400002</v>
      </c>
    </row>
    <row r="64" spans="1:8">
      <c r="A64" s="88" t="str">
        <f>HLOOKUP(INDICE!$F$2,Nombres!$C$3:$E$853,47)</f>
        <v xml:space="preserve">  Personnel expenses</v>
      </c>
      <c r="B64" s="149">
        <v>-47.9680257674</v>
      </c>
      <c r="C64" s="84">
        <v>-49.411971968899998</v>
      </c>
      <c r="D64" s="84">
        <v>-50.982913255699998</v>
      </c>
      <c r="E64" s="150">
        <v>-49.220457283800002</v>
      </c>
      <c r="F64" s="73">
        <v>-52.583763035200008</v>
      </c>
      <c r="G64" s="73">
        <v>-54.971982546199996</v>
      </c>
      <c r="H64" s="73">
        <v>-240.5624703986</v>
      </c>
    </row>
    <row r="65" spans="1:8">
      <c r="A65" s="88" t="str">
        <f>HLOOKUP(INDICE!$F$2,Nombres!$C$3:$E$853,48)</f>
        <v xml:space="preserve">  General and administrative expenses</v>
      </c>
      <c r="B65" s="149">
        <v>-37.417303921200002</v>
      </c>
      <c r="C65" s="84">
        <v>-34.3094050057</v>
      </c>
      <c r="D65" s="84">
        <v>-38.779119845099999</v>
      </c>
      <c r="E65" s="150">
        <v>-43.757727914300006</v>
      </c>
      <c r="F65" s="73">
        <v>-41.172429468799997</v>
      </c>
      <c r="G65" s="73">
        <v>-46.734028195800001</v>
      </c>
      <c r="H65" s="73">
        <v>-169.4026143355</v>
      </c>
    </row>
    <row r="66" spans="1:8" ht="13.5" customHeight="1">
      <c r="A66" s="49" t="str">
        <f>HLOOKUP(INDICE!$F$2,Nombres!$C$3:$E$853,49)</f>
        <v xml:space="preserve">  Depreciation and amortization</v>
      </c>
      <c r="B66" s="149">
        <v>-8.4491715569999997</v>
      </c>
      <c r="C66" s="84">
        <v>-8.4900511586</v>
      </c>
      <c r="D66" s="84">
        <v>-8.6615318929000011</v>
      </c>
      <c r="E66" s="150">
        <v>-8.8380767909000006</v>
      </c>
      <c r="F66" s="73">
        <v>-8.9339035949000003</v>
      </c>
      <c r="G66" s="73">
        <v>-8.963965182199999</v>
      </c>
      <c r="H66" s="73">
        <v>-62.913891222999993</v>
      </c>
    </row>
    <row r="67" spans="1:8" ht="14.25" customHeight="1">
      <c r="A67" s="54" t="str">
        <f>HLOOKUP(INDICE!$F$2,Nombres!$C$3:$E$853,50)</f>
        <v>Operating income</v>
      </c>
      <c r="B67" s="147">
        <v>120.62498479129999</v>
      </c>
      <c r="C67" s="83">
        <v>134.60284376450002</v>
      </c>
      <c r="D67" s="83">
        <v>139.28167308259998</v>
      </c>
      <c r="E67" s="148">
        <v>143.39171280799999</v>
      </c>
      <c r="F67" s="54">
        <v>130.7883317472</v>
      </c>
      <c r="G67" s="54">
        <v>147.68694256660001</v>
      </c>
      <c r="H67" s="54">
        <v>406.42387922610004</v>
      </c>
    </row>
    <row r="68" spans="1:8">
      <c r="A68" s="49" t="str">
        <f>HLOOKUP(INDICE!$F$2,Nombres!$C$3:$E$853,51)</f>
        <v>Impairment on financial assets (net)</v>
      </c>
      <c r="B68" s="149">
        <v>-25.7292200503</v>
      </c>
      <c r="C68" s="84">
        <v>-24.722222060900002</v>
      </c>
      <c r="D68" s="84">
        <v>-48.894823737700001</v>
      </c>
      <c r="E68" s="150">
        <v>-43.917409029399998</v>
      </c>
      <c r="F68" s="73">
        <v>-30.8756261435</v>
      </c>
      <c r="G68" s="73">
        <v>-37.530648167099997</v>
      </c>
      <c r="H68" s="73">
        <v>-155.3017256894</v>
      </c>
    </row>
    <row r="69" spans="1:8" ht="16.5" customHeight="1">
      <c r="A69" s="49" t="str">
        <f>HLOOKUP(INDICE!$F$2,Nombres!$C$3:$E$853,160)</f>
        <v>Provisions (net) and other gains/losses</v>
      </c>
      <c r="B69" s="149">
        <v>-4.6631654781999998</v>
      </c>
      <c r="C69" s="84">
        <v>-4.2638350532000002</v>
      </c>
      <c r="D69" s="84">
        <v>6.9112763324000008</v>
      </c>
      <c r="E69" s="150">
        <v>-8.8124523520999993</v>
      </c>
      <c r="F69" s="73">
        <v>-0.44630909939999996</v>
      </c>
      <c r="G69" s="73">
        <v>0.97539497580000045</v>
      </c>
      <c r="H69" s="73">
        <v>-1.7740858765</v>
      </c>
    </row>
    <row r="70" spans="1:8" ht="12.75" customHeight="1">
      <c r="A70" s="54" t="str">
        <f>HLOOKUP(INDICE!$F$2,Nombres!$C$3:$E$853,54)</f>
        <v>Income before tax</v>
      </c>
      <c r="B70" s="147">
        <v>90.23259926290001</v>
      </c>
      <c r="C70" s="83">
        <v>105.61678665049999</v>
      </c>
      <c r="D70" s="83">
        <v>97.298125677600012</v>
      </c>
      <c r="E70" s="148">
        <v>90.661851426200002</v>
      </c>
      <c r="F70" s="54">
        <v>99.466396504299993</v>
      </c>
      <c r="G70" s="54">
        <v>111.1316893753</v>
      </c>
      <c r="H70" s="54">
        <v>249.34806766029999</v>
      </c>
    </row>
    <row r="71" spans="1:8" ht="13.5" customHeight="1">
      <c r="A71" s="49" t="str">
        <f>HLOOKUP(INDICE!$F$2,Nombres!$C$3:$E$853,55)</f>
        <v>Income tax</v>
      </c>
      <c r="B71" s="149">
        <v>-18.985221156000001</v>
      </c>
      <c r="C71" s="84">
        <v>-22.4569690718</v>
      </c>
      <c r="D71" s="84">
        <v>-19.173281455400002</v>
      </c>
      <c r="E71" s="150">
        <v>-19.396671308999998</v>
      </c>
      <c r="F71" s="73">
        <v>-19.502914687299999</v>
      </c>
      <c r="G71" s="73">
        <v>-23.041487281400002</v>
      </c>
      <c r="H71" s="73">
        <v>-42.731042391300008</v>
      </c>
    </row>
    <row r="72" spans="1:8" ht="12.75" customHeight="1">
      <c r="A72" s="54" t="str">
        <f>HLOOKUP(INDICE!$F$2,Nombres!$C$3:$E$853,56)</f>
        <v>Net income</v>
      </c>
      <c r="B72" s="147">
        <v>71.247378106900001</v>
      </c>
      <c r="C72" s="83">
        <v>83.159817578900004</v>
      </c>
      <c r="D72" s="83">
        <v>78.124844222000007</v>
      </c>
      <c r="E72" s="148">
        <v>71.265180117400007</v>
      </c>
      <c r="F72" s="54">
        <v>79.963481817000002</v>
      </c>
      <c r="G72" s="54">
        <v>88.090202093999991</v>
      </c>
      <c r="H72" s="54">
        <v>206.61702526889999</v>
      </c>
    </row>
    <row r="73" spans="1:8" ht="12.75" customHeight="1">
      <c r="A73" s="49" t="str">
        <f>HLOOKUP(INDICE!$F$2,Nombres!$C$3:$E$853,57)</f>
        <v>Non-controlling interests</v>
      </c>
      <c r="B73" s="241">
        <v>0</v>
      </c>
      <c r="C73" s="236">
        <v>0</v>
      </c>
      <c r="D73" s="236">
        <v>0</v>
      </c>
      <c r="E73" s="237">
        <v>0</v>
      </c>
      <c r="F73" s="242">
        <v>0</v>
      </c>
      <c r="G73" s="242">
        <v>0</v>
      </c>
      <c r="H73" s="73">
        <v>-125.18200000009999</v>
      </c>
    </row>
    <row r="74" spans="1:8" ht="15" customHeight="1">
      <c r="A74" s="54" t="str">
        <f>HLOOKUP(INDICE!$F$2,Nombres!$C$3:$E$853,58)</f>
        <v>Net attributable profit</v>
      </c>
      <c r="B74" s="147">
        <v>71.247378106900001</v>
      </c>
      <c r="C74" s="83">
        <v>83.159817578900004</v>
      </c>
      <c r="D74" s="83">
        <v>78.124844222000007</v>
      </c>
      <c r="E74" s="148">
        <v>71.265180117400007</v>
      </c>
      <c r="F74" s="54">
        <v>79.963481817000002</v>
      </c>
      <c r="G74" s="54">
        <v>88.090202093999991</v>
      </c>
      <c r="H74" s="54">
        <v>81.435025268899992</v>
      </c>
    </row>
    <row r="75" spans="1:8" ht="48.75" customHeight="1">
      <c r="A75" s="251" t="str">
        <f>HLOOKUP(INDICE!$F$2,Nombres!$C$3:$E$853,289)</f>
        <v>(*) Since the third quarter of 2015, BBVA's total stake in Garanti is consolidated by the full integration method. For previous periods, Garanti's revenues and costs are integrated in the proportion corresponding to the percentage of the Group's stake (25.01%).</v>
      </c>
      <c r="B75" s="251"/>
      <c r="C75" s="251"/>
      <c r="D75" s="251"/>
      <c r="E75" s="251"/>
      <c r="F75" s="251"/>
      <c r="G75" s="251"/>
      <c r="H75" s="251"/>
    </row>
    <row r="76" spans="1:8" ht="15.75" customHeight="1">
      <c r="A76" s="144" t="str">
        <f>HLOOKUP(INDICE!$F$2,Nombres!$C$3:$E$853,293)</f>
        <v xml:space="preserve">Balance sheet (*)  </v>
      </c>
      <c r="G76" s="74"/>
      <c r="H76" s="74"/>
    </row>
    <row r="77" spans="1:8">
      <c r="A77" s="41" t="str">
        <f>HLOOKUP(INDICE!$F$2,Nombres!$C$3:$E$853,31)</f>
        <v xml:space="preserve">(Constant million euros)    </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Cash and balances with central banks</v>
      </c>
      <c r="B79" s="149">
        <v>1772.523346036</v>
      </c>
      <c r="C79" s="84">
        <v>1884.8496767904001</v>
      </c>
      <c r="D79" s="84">
        <v>1889.6947350839</v>
      </c>
      <c r="E79" s="150">
        <v>2070.2186251193002</v>
      </c>
      <c r="F79" s="158">
        <v>2016.4108500422001</v>
      </c>
      <c r="G79" s="84">
        <v>2046.6535464660999</v>
      </c>
      <c r="H79" s="84">
        <v>10434.996999999999</v>
      </c>
    </row>
    <row r="80" spans="1:8">
      <c r="A80" s="49" t="str">
        <f>HLOOKUP(INDICE!$F$2,Nombres!$C$3:$E$853,101)</f>
        <v>Financial assets</v>
      </c>
      <c r="B80" s="149">
        <v>3370.0931793782001</v>
      </c>
      <c r="C80" s="84">
        <v>3522.8389712656999</v>
      </c>
      <c r="D80" s="84">
        <v>3635.5912434067</v>
      </c>
      <c r="E80" s="150">
        <v>3766.58764483</v>
      </c>
      <c r="F80" s="158">
        <v>3709.3961530072002</v>
      </c>
      <c r="G80" s="84">
        <v>3798.1227147932</v>
      </c>
      <c r="H80" s="84">
        <v>15810.384</v>
      </c>
    </row>
    <row r="81" spans="1:8">
      <c r="A81" s="49" t="str">
        <f>HLOOKUP(INDICE!$F$2,Nombres!$C$3:$E$853,102)</f>
        <v>Loans and receivables</v>
      </c>
      <c r="B81" s="149">
        <v>11164.931212186</v>
      </c>
      <c r="C81" s="84">
        <v>11189.7531259715</v>
      </c>
      <c r="D81" s="84">
        <v>11881.9804979078</v>
      </c>
      <c r="E81" s="150">
        <v>12082.3152676837</v>
      </c>
      <c r="F81" s="158">
        <v>13067.6603139952</v>
      </c>
      <c r="G81" s="84">
        <v>13284.887769577301</v>
      </c>
      <c r="H81" s="84">
        <v>57719.224000000002</v>
      </c>
    </row>
    <row r="82" spans="1:8">
      <c r="A82" s="49" t="str">
        <f>HLOOKUP(INDICE!$F$2,Nombres!$C$3:$E$853,103)</f>
        <v xml:space="preserve">  . Loans and advances to customers</v>
      </c>
      <c r="B82" s="149">
        <v>9927.3356923481006</v>
      </c>
      <c r="C82" s="84">
        <v>10103.0966117434</v>
      </c>
      <c r="D82" s="84">
        <v>10723.8651660748</v>
      </c>
      <c r="E82" s="150">
        <v>10940.917569229699</v>
      </c>
      <c r="F82" s="158">
        <v>11763.0591794306</v>
      </c>
      <c r="G82" s="84">
        <v>12188.8809946204</v>
      </c>
      <c r="H82" s="84">
        <v>52230.521000000001</v>
      </c>
    </row>
    <row r="83" spans="1:8">
      <c r="A83" s="49" t="str">
        <f>HLOOKUP(INDICE!$F$2,Nombres!$C$3:$E$853,104)</f>
        <v xml:space="preserve">  . Loans and advances to credit institutions and other</v>
      </c>
      <c r="B83" s="149">
        <v>1237.5955198379002</v>
      </c>
      <c r="C83" s="84">
        <v>1086.6565142282</v>
      </c>
      <c r="D83" s="84">
        <v>1158.115331833</v>
      </c>
      <c r="E83" s="150">
        <v>1141.397698454</v>
      </c>
      <c r="F83" s="158">
        <v>1304.6011345646</v>
      </c>
      <c r="G83" s="84">
        <v>1096.0067749568</v>
      </c>
      <c r="H83" s="84">
        <v>5488.7029999999995</v>
      </c>
    </row>
    <row r="84" spans="1:8">
      <c r="A84" s="49" t="str">
        <f>HLOOKUP(INDICE!$F$2,Nombres!$C$3:$E$853,106)</f>
        <v>Tangible assets</v>
      </c>
      <c r="B84" s="149">
        <v>153.3930434646</v>
      </c>
      <c r="C84" s="84">
        <v>154.6574392043</v>
      </c>
      <c r="D84" s="84">
        <v>153.8459612808</v>
      </c>
      <c r="E84" s="150">
        <v>162.3904636158</v>
      </c>
      <c r="F84" s="158">
        <v>159.8278173118</v>
      </c>
      <c r="G84" s="84">
        <v>161.47577527440001</v>
      </c>
      <c r="H84" s="84">
        <v>850.61900000000003</v>
      </c>
    </row>
    <row r="85" spans="1:8">
      <c r="A85" s="49" t="str">
        <f>HLOOKUP(INDICE!$F$2,Nombres!$C$3:$E$853,107)</f>
        <v>Other assets</v>
      </c>
      <c r="B85" s="149">
        <v>556.77080220620007</v>
      </c>
      <c r="C85" s="84">
        <v>528.828828466</v>
      </c>
      <c r="D85" s="84">
        <v>567.9817210110001</v>
      </c>
      <c r="E85" s="150">
        <v>582.40676026820006</v>
      </c>
      <c r="F85" s="158">
        <v>646.71013670249988</v>
      </c>
      <c r="G85" s="84">
        <v>587.09436057460005</v>
      </c>
      <c r="H85" s="84">
        <v>2550.0667915699887</v>
      </c>
    </row>
    <row r="86" spans="1:8">
      <c r="A86" s="54" t="str">
        <f>HLOOKUP(INDICE!$F$2,Nombres!$C$3:$E$853,108)</f>
        <v>Total assets / Liabilities and equity</v>
      </c>
      <c r="B86" s="147">
        <v>17017.711583271001</v>
      </c>
      <c r="C86" s="83">
        <v>17280.928041697902</v>
      </c>
      <c r="D86" s="83">
        <v>18129.094158690204</v>
      </c>
      <c r="E86" s="148">
        <v>18663.918761517099</v>
      </c>
      <c r="F86" s="147">
        <v>19600.005271059003</v>
      </c>
      <c r="G86" s="83">
        <v>19878.234166685601</v>
      </c>
      <c r="H86" s="83">
        <v>87365.290791569991</v>
      </c>
    </row>
    <row r="87" spans="1:8">
      <c r="A87" s="49" t="str">
        <f>HLOOKUP(INDICE!$F$2,Nombres!$C$3:$E$853,109)</f>
        <v>Deposits from central banks and credit institutions</v>
      </c>
      <c r="B87" s="149">
        <v>3859.8316522923001</v>
      </c>
      <c r="C87" s="84">
        <v>3604.8199410770999</v>
      </c>
      <c r="D87" s="84">
        <v>3921.0220121275001</v>
      </c>
      <c r="E87" s="150">
        <v>3653.6300609617001</v>
      </c>
      <c r="F87" s="158">
        <v>3608.2941514008999</v>
      </c>
      <c r="G87" s="84">
        <v>3737.7979902982001</v>
      </c>
      <c r="H87" s="84">
        <v>15888.111999999999</v>
      </c>
    </row>
    <row r="88" spans="1:8">
      <c r="A88" s="49" t="str">
        <f>HLOOKUP(INDICE!$F$2,Nombres!$C$3:$E$853,110)</f>
        <v>Deposits from customers</v>
      </c>
      <c r="B88" s="149">
        <v>8874.4201699418009</v>
      </c>
      <c r="C88" s="84">
        <v>8847.3550047827994</v>
      </c>
      <c r="D88" s="84">
        <v>9090.9680132123995</v>
      </c>
      <c r="E88" s="150">
        <v>9711.1876247029995</v>
      </c>
      <c r="F88" s="158">
        <v>10377.7276636773</v>
      </c>
      <c r="G88" s="84">
        <v>10618.123778266699</v>
      </c>
      <c r="H88" s="84">
        <v>46388.406999999999</v>
      </c>
    </row>
    <row r="89" spans="1:8">
      <c r="A89" s="49" t="str">
        <f>HLOOKUP(INDICE!$F$2,Nombres!$C$3:$E$853,111)</f>
        <v>Debt certificates</v>
      </c>
      <c r="B89" s="149">
        <v>823.63521582340002</v>
      </c>
      <c r="C89" s="84">
        <v>973.2484072167</v>
      </c>
      <c r="D89" s="84">
        <v>1096.0066821621999</v>
      </c>
      <c r="E89" s="150">
        <v>1083.6817734058</v>
      </c>
      <c r="F89" s="158">
        <v>1083.7370169264</v>
      </c>
      <c r="G89" s="84">
        <v>1111.1975309894001</v>
      </c>
      <c r="H89" s="84">
        <v>7830.4350000000004</v>
      </c>
    </row>
    <row r="90" spans="1:8">
      <c r="A90" s="49" t="str">
        <f>HLOOKUP(INDICE!$F$2,Nombres!$C$3:$E$853,112)</f>
        <v>Subordinated liabilities</v>
      </c>
      <c r="B90" s="149">
        <v>20.403126266400001</v>
      </c>
      <c r="C90" s="84">
        <v>20.222639979499998</v>
      </c>
      <c r="D90" s="84">
        <v>19.654539266</v>
      </c>
      <c r="E90" s="150">
        <v>19.5081731203</v>
      </c>
      <c r="F90" s="158">
        <v>19.027792809699999</v>
      </c>
      <c r="G90" s="84">
        <v>20.2098722952</v>
      </c>
      <c r="H90" s="84">
        <v>51.216999999999999</v>
      </c>
    </row>
    <row r="91" spans="1:8">
      <c r="A91" s="49" t="str">
        <f>HLOOKUP(INDICE!$F$2,Nombres!$C$3:$E$853,114)</f>
        <v xml:space="preserve">Financial liabilities held for trading </v>
      </c>
      <c r="B91" s="149">
        <v>144.96852116220001</v>
      </c>
      <c r="C91" s="84">
        <v>102.4965798834</v>
      </c>
      <c r="D91" s="84">
        <v>142.41009909749999</v>
      </c>
      <c r="E91" s="150">
        <v>160.1701705545</v>
      </c>
      <c r="F91" s="158">
        <v>309.41985701589999</v>
      </c>
      <c r="G91" s="84">
        <v>213.6318234089</v>
      </c>
      <c r="H91" s="84">
        <v>1105.3219999999999</v>
      </c>
    </row>
    <row r="92" spans="1:8">
      <c r="A92" s="49" t="str">
        <f>HLOOKUP(INDICE!$F$2,Nombres!$C$3:$E$853,115)</f>
        <v>Other liabilities</v>
      </c>
      <c r="B92" s="149">
        <v>2603.7746500508024</v>
      </c>
      <c r="C92" s="84">
        <v>3031.5762105583026</v>
      </c>
      <c r="D92" s="84">
        <v>3128.354543226505</v>
      </c>
      <c r="E92" s="150">
        <v>3269.103576394099</v>
      </c>
      <c r="F92" s="158">
        <v>3419.4443031685005</v>
      </c>
      <c r="G92" s="84">
        <v>3291.8094682716996</v>
      </c>
      <c r="H92" s="84">
        <v>14554.683574230001</v>
      </c>
    </row>
    <row r="93" spans="1:8" ht="12" customHeight="1">
      <c r="A93" s="49" t="str">
        <f>HLOOKUP(INDICE!$F$2,Nombres!$C$3:$E$853,116)</f>
        <v>Economic capital allocated</v>
      </c>
      <c r="B93" s="149">
        <v>690.67824773409995</v>
      </c>
      <c r="C93" s="84">
        <v>701.20925819989998</v>
      </c>
      <c r="D93" s="84">
        <v>730.67826959809997</v>
      </c>
      <c r="E93" s="150">
        <v>766.63738237760003</v>
      </c>
      <c r="F93" s="158">
        <v>782.35448606030002</v>
      </c>
      <c r="G93" s="84">
        <v>885.46370315549996</v>
      </c>
      <c r="H93" s="84">
        <v>1547.1142173400001</v>
      </c>
    </row>
    <row r="94" spans="1:8" ht="39" customHeight="1">
      <c r="A94" s="251" t="str">
        <f>HLOOKUP(INDICE!$F$2,Nombres!$C$3:$E$853,316)</f>
        <v>(*) Since the third quarter of 2015, BBVA’s total stake in Garanti is consolidated by the full integration method. For previous periods, Garanti’s assets and liabilities are integrated in the proportion corresponding to the percentage of the Group’s stake (25.01%).</v>
      </c>
      <c r="B94" s="251"/>
      <c r="C94" s="251"/>
      <c r="D94" s="251"/>
      <c r="E94" s="251"/>
      <c r="F94" s="251"/>
      <c r="G94" s="251"/>
      <c r="H94" s="251"/>
    </row>
    <row r="95" spans="1:8" ht="12" customHeight="1">
      <c r="A95" s="144" t="str">
        <f>HLOOKUP(INDICE!$F$2,Nombres!$C$3:$E$853,117)</f>
        <v>Relevant business indicators</v>
      </c>
      <c r="G95" s="74"/>
      <c r="H95" s="74"/>
    </row>
    <row r="96" spans="1:8" ht="18">
      <c r="A96" s="144" t="str">
        <f>HLOOKUP(INDICE!$F$2,Nombres!$C$3:$E$853,201)</f>
        <v>Annex:</v>
      </c>
      <c r="G96" s="74"/>
      <c r="H96" s="74"/>
    </row>
    <row r="97" spans="1:8" ht="12" customHeight="1">
      <c r="A97" s="41" t="str">
        <f>HLOOKUP(INDICE!$F$2,Nombres!$C$3:$E$853,31)</f>
        <v xml:space="preserve">(Constant million euros)    </v>
      </c>
      <c r="G97" s="74"/>
      <c r="H97" s="74"/>
    </row>
    <row r="98" spans="1:8" ht="11.25" customHeight="1">
      <c r="A98" s="153"/>
      <c r="B98" s="81">
        <v>41729</v>
      </c>
      <c r="C98" s="82">
        <v>41820</v>
      </c>
      <c r="D98" s="82">
        <v>41912</v>
      </c>
      <c r="E98" s="82">
        <v>42004</v>
      </c>
      <c r="F98" s="81">
        <v>42094</v>
      </c>
      <c r="G98" s="82">
        <v>42185</v>
      </c>
      <c r="H98" s="82">
        <v>42277</v>
      </c>
    </row>
    <row r="99" spans="1:8">
      <c r="A99" s="49" t="str">
        <f>HLOOKUP(INDICE!$F$2,Nombres!$C$3:$E$853,314)</f>
        <v>Loans and advances to customers gross (**)</v>
      </c>
      <c r="B99" s="149">
        <v>10312.9561800968</v>
      </c>
      <c r="C99" s="157">
        <v>10484.972718320199</v>
      </c>
      <c r="D99" s="157">
        <v>11134.735355598599</v>
      </c>
      <c r="E99" s="193">
        <v>11389.3232112476</v>
      </c>
      <c r="F99" s="149">
        <v>12231.6496929391</v>
      </c>
      <c r="G99" s="157">
        <v>12682.9569331359</v>
      </c>
      <c r="H99" s="157">
        <v>54322.978999999999</v>
      </c>
    </row>
    <row r="100" spans="1:8">
      <c r="A100" s="49" t="str">
        <f>HLOOKUP(INDICE!$F$2,Nombres!$C$3:$E$853,315)</f>
        <v>Customer deposits under management (***)</v>
      </c>
      <c r="B100" s="149">
        <v>7930.9424117177996</v>
      </c>
      <c r="C100" s="157">
        <v>7581.9700119401004</v>
      </c>
      <c r="D100" s="157">
        <v>7956.0461396374003</v>
      </c>
      <c r="E100" s="193">
        <v>8362.8155717353002</v>
      </c>
      <c r="F100" s="149">
        <v>9200.3079128509999</v>
      </c>
      <c r="G100" s="157">
        <v>9687.1143495560991</v>
      </c>
      <c r="H100" s="157">
        <v>41731.379849919998</v>
      </c>
    </row>
    <row r="101" spans="1:8">
      <c r="A101" s="49" t="str">
        <f>HLOOKUP(INDICE!$F$2,Nombres!$C$3:$E$853,122)</f>
        <v>Mutual funds</v>
      </c>
      <c r="B101" s="149">
        <v>306.75368155180001</v>
      </c>
      <c r="C101" s="157">
        <v>319.184811835</v>
      </c>
      <c r="D101" s="157">
        <v>288.99150362609998</v>
      </c>
      <c r="E101" s="193">
        <v>287.15205532319999</v>
      </c>
      <c r="F101" s="149">
        <v>302.96275411840003</v>
      </c>
      <c r="G101" s="157">
        <v>311.30624664829998</v>
      </c>
      <c r="H101" s="157">
        <v>1231.5920000000001</v>
      </c>
    </row>
    <row r="102" spans="1:8">
      <c r="A102" s="49" t="str">
        <f>HLOOKUP(INDICE!$F$2,Nombres!$C$3:$E$853,206)</f>
        <v>Pension funds</v>
      </c>
      <c r="B102" s="158">
        <v>337.17094525509998</v>
      </c>
      <c r="C102" s="84">
        <v>379.66047698850002</v>
      </c>
      <c r="D102" s="84">
        <v>399.11175996899999</v>
      </c>
      <c r="E102" s="150">
        <v>449.337029062</v>
      </c>
      <c r="F102" s="158">
        <v>474.82192481150003</v>
      </c>
      <c r="G102" s="84">
        <v>497.62492461419998</v>
      </c>
      <c r="H102" s="84">
        <v>2052.3449999999998</v>
      </c>
    </row>
    <row r="103" spans="1:8">
      <c r="A103" s="49" t="str">
        <f>HLOOKUP(INDICE!$F$2,Nombres!$C$3:$E$853,308)</f>
        <v>Other off balance-sheet funds</v>
      </c>
      <c r="B103" s="235">
        <v>0</v>
      </c>
      <c r="C103" s="236">
        <v>0</v>
      </c>
      <c r="D103" s="236">
        <v>0</v>
      </c>
      <c r="E103" s="237">
        <v>0</v>
      </c>
      <c r="F103" s="235">
        <v>0</v>
      </c>
      <c r="G103" s="236">
        <v>0</v>
      </c>
      <c r="H103" s="236">
        <v>0</v>
      </c>
    </row>
    <row r="104" spans="1:8">
      <c r="A104" s="156" t="str">
        <f>HLOOKUP(INDICE!$F$2,Nombres!$C$3:$E$853,312)</f>
        <v xml:space="preserve">(**) Excluding repos. </v>
      </c>
      <c r="B104" s="72"/>
      <c r="C104" s="73"/>
      <c r="D104" s="73"/>
      <c r="E104" s="73"/>
      <c r="F104" s="73"/>
    </row>
    <row r="105" spans="1:8">
      <c r="A105" s="156" t="str">
        <f>HLOOKUP(INDICE!$F$2,Nombres!$C$3:$E$853,313)</f>
        <v xml:space="preserve">(***) Excluding repos. </v>
      </c>
      <c r="B105" s="72"/>
      <c r="C105" s="73"/>
      <c r="D105" s="73"/>
      <c r="E105" s="73"/>
      <c r="F105" s="73"/>
    </row>
  </sheetData>
  <mergeCells count="8">
    <mergeCell ref="A75:H75"/>
    <mergeCell ref="A94:H94"/>
    <mergeCell ref="B4:E4"/>
    <mergeCell ref="F4:H4"/>
    <mergeCell ref="B55:E55"/>
    <mergeCell ref="F55:H55"/>
    <mergeCell ref="A24:H24"/>
    <mergeCell ref="A42:H42"/>
  </mergeCells>
  <pageMargins left="0.7" right="0.7" top="0.75" bottom="0.75" header="0.3" footer="0.3"/>
  <pageSetup paperSize="9" scale="4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H105"/>
  <sheetViews>
    <sheetView showGridLines="0" zoomScaleNormal="10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HLOOKUP(INDICE!$F$2,Nombres!$C$3:$E$853,309)</f>
        <v>Turkey presented on a like-for-like comparison</v>
      </c>
    </row>
    <row r="2" spans="1:8" ht="18">
      <c r="A2" s="144" t="str">
        <f>HLOOKUP(INDICE!$F$2,Nombres!$C$3:$E$853,304)</f>
        <v>Income statement (*)</v>
      </c>
      <c r="B2" s="192"/>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146.34886950000001</v>
      </c>
      <c r="C6" s="83">
        <v>167.27188501000001</v>
      </c>
      <c r="D6" s="83">
        <v>196.55727318000001</v>
      </c>
      <c r="E6" s="148">
        <v>224.46315089000001</v>
      </c>
      <c r="F6" s="83">
        <v>210.40501202999999</v>
      </c>
      <c r="G6" s="83">
        <v>214.60152532000001</v>
      </c>
      <c r="H6" s="83">
        <v>223.84066418000009</v>
      </c>
    </row>
    <row r="7" spans="1:8">
      <c r="A7" s="49" t="str">
        <f>HLOOKUP(INDICE!$F$2,Nombres!$C$3:$E$853,39)</f>
        <v>Net fees and commissions</v>
      </c>
      <c r="B7" s="149">
        <v>41.73</v>
      </c>
      <c r="C7" s="84">
        <v>52.956000000000003</v>
      </c>
      <c r="D7" s="84">
        <v>47.693999999999996</v>
      </c>
      <c r="E7" s="150">
        <v>48.449999999999996</v>
      </c>
      <c r="F7" s="84">
        <v>49.620999999999995</v>
      </c>
      <c r="G7" s="84">
        <v>48.449999999999996</v>
      </c>
      <c r="H7" s="84">
        <v>42.349749997499998</v>
      </c>
    </row>
    <row r="8" spans="1:8">
      <c r="A8" s="49" t="str">
        <f>HLOOKUP(INDICE!$F$2,Nombres!$C$3:$E$853,40)</f>
        <v>Net trading income</v>
      </c>
      <c r="B8" s="149">
        <v>17.852</v>
      </c>
      <c r="C8" s="84">
        <v>8.0510000000000002</v>
      </c>
      <c r="D8" s="84">
        <v>-2.7030000000000003</v>
      </c>
      <c r="E8" s="150">
        <v>-21.917000000000002</v>
      </c>
      <c r="F8" s="84">
        <v>-14.707000000000001</v>
      </c>
      <c r="G8" s="84">
        <v>-7.0299999999999994</v>
      </c>
      <c r="H8" s="84">
        <v>-54.3645</v>
      </c>
    </row>
    <row r="9" spans="1:8">
      <c r="A9" s="49" t="str">
        <f>HLOOKUP(INDICE!$F$2,Nombres!$C$3:$E$853,95)</f>
        <v>Other income/expenses</v>
      </c>
      <c r="B9" s="149">
        <v>3.7839999999999998</v>
      </c>
      <c r="C9" s="84">
        <v>3.6260000000000003</v>
      </c>
      <c r="D9" s="84">
        <v>4.3250000000000002</v>
      </c>
      <c r="E9" s="150">
        <v>5.9110000000000005</v>
      </c>
      <c r="F9" s="84">
        <v>4.7380000000000004</v>
      </c>
      <c r="G9" s="84">
        <v>4.2690000000000001</v>
      </c>
      <c r="H9" s="84">
        <v>3.369250000000001</v>
      </c>
    </row>
    <row r="10" spans="1:8">
      <c r="A10" s="54" t="str">
        <f>HLOOKUP(INDICE!$F$2,Nombres!$C$3:$E$853,44)</f>
        <v>Gross income</v>
      </c>
      <c r="B10" s="147">
        <v>209.71486949999999</v>
      </c>
      <c r="C10" s="83">
        <v>231.90488501000002</v>
      </c>
      <c r="D10" s="83">
        <v>245.87327318000001</v>
      </c>
      <c r="E10" s="148">
        <v>256.90715089000003</v>
      </c>
      <c r="F10" s="83">
        <v>250.05701203000001</v>
      </c>
      <c r="G10" s="83">
        <v>260.29052531999997</v>
      </c>
      <c r="H10" s="83">
        <v>215.19516417750003</v>
      </c>
    </row>
    <row r="11" spans="1:8">
      <c r="A11" s="49" t="str">
        <f>HLOOKUP(INDICE!$F$2,Nombres!$C$3:$E$853,45)</f>
        <v>Operating expenses</v>
      </c>
      <c r="B11" s="149">
        <v>-91.783929000000001</v>
      </c>
      <c r="C11" s="84">
        <v>-94.406953000000001</v>
      </c>
      <c r="D11" s="84">
        <v>-101.82176263740001</v>
      </c>
      <c r="E11" s="150">
        <v>-106.6560903626</v>
      </c>
      <c r="F11" s="84">
        <v>-109.90620700000001</v>
      </c>
      <c r="G11" s="84">
        <v>-111.40645599999999</v>
      </c>
      <c r="H11" s="84">
        <v>-116.35588924499999</v>
      </c>
    </row>
    <row r="12" spans="1:8">
      <c r="A12" s="49" t="str">
        <f>HLOOKUP(INDICE!$F$2,Nombres!$C$3:$E$853,46)</f>
        <v xml:space="preserve">  Administration expenses</v>
      </c>
      <c r="B12" s="149">
        <v>-83.521676999999997</v>
      </c>
      <c r="C12" s="84">
        <v>-85.716701</v>
      </c>
      <c r="D12" s="84">
        <v>-92.8525056374</v>
      </c>
      <c r="E12" s="150">
        <v>-97.385829362599992</v>
      </c>
      <c r="F12" s="84">
        <v>-100.33795500000001</v>
      </c>
      <c r="G12" s="84">
        <v>-102.403205</v>
      </c>
      <c r="H12" s="84">
        <v>-100.79563224500002</v>
      </c>
    </row>
    <row r="13" spans="1:8">
      <c r="A13" s="88" t="str">
        <f>HLOOKUP(INDICE!$F$2,Nombres!$C$3:$E$853,47)</f>
        <v xml:space="preserve">  Personnel expenses</v>
      </c>
      <c r="B13" s="149">
        <v>-46.930352999999997</v>
      </c>
      <c r="C13" s="84">
        <v>-50.525183999999996</v>
      </c>
      <c r="D13" s="84">
        <v>-52.746526000000003</v>
      </c>
      <c r="E13" s="150">
        <v>-51.644427</v>
      </c>
      <c r="F13" s="84">
        <v>-56.248039999999996</v>
      </c>
      <c r="G13" s="84">
        <v>-55.285052999999998</v>
      </c>
      <c r="H13" s="84">
        <v>-59.185372994999994</v>
      </c>
    </row>
    <row r="14" spans="1:8">
      <c r="A14" s="88" t="str">
        <f>HLOOKUP(INDICE!$F$2,Nombres!$C$3:$E$853,48)</f>
        <v xml:space="preserve">  General and administrative expenses</v>
      </c>
      <c r="B14" s="149">
        <v>-36.591324</v>
      </c>
      <c r="C14" s="84">
        <v>-35.191516999999997</v>
      </c>
      <c r="D14" s="84">
        <v>-40.105979637399997</v>
      </c>
      <c r="E14" s="150">
        <v>-45.741402362599999</v>
      </c>
      <c r="F14" s="84">
        <v>-44.089914999999998</v>
      </c>
      <c r="G14" s="84">
        <v>-47.118152000000002</v>
      </c>
      <c r="H14" s="84">
        <v>-41.610259249999999</v>
      </c>
    </row>
    <row r="15" spans="1:8" ht="13.5" customHeight="1">
      <c r="A15" s="49" t="str">
        <f>HLOOKUP(INDICE!$F$2,Nombres!$C$3:$E$853,49)</f>
        <v xml:space="preserve">  Depreciation and amortization</v>
      </c>
      <c r="B15" s="149">
        <v>-8.2622520000000002</v>
      </c>
      <c r="C15" s="84">
        <v>-8.690252000000001</v>
      </c>
      <c r="D15" s="84">
        <v>-8.9692569999999989</v>
      </c>
      <c r="E15" s="150">
        <v>-9.2702609999999996</v>
      </c>
      <c r="F15" s="84">
        <v>-9.5682520000000011</v>
      </c>
      <c r="G15" s="84">
        <v>-9.0032510000000006</v>
      </c>
      <c r="H15" s="84">
        <v>-15.560256999999998</v>
      </c>
    </row>
    <row r="16" spans="1:8" ht="12.75" customHeight="1">
      <c r="A16" s="54" t="str">
        <f>HLOOKUP(INDICE!$F$2,Nombres!$C$3:$E$853,50)</f>
        <v>Operating income</v>
      </c>
      <c r="B16" s="147">
        <v>117.93094049999999</v>
      </c>
      <c r="C16" s="83">
        <v>137.49793201</v>
      </c>
      <c r="D16" s="83">
        <v>144.0515105426</v>
      </c>
      <c r="E16" s="148">
        <v>150.2510605274</v>
      </c>
      <c r="F16" s="83">
        <v>140.15080502999999</v>
      </c>
      <c r="G16" s="83">
        <v>148.88406932000001</v>
      </c>
      <c r="H16" s="83">
        <v>98.839274932500103</v>
      </c>
    </row>
    <row r="17" spans="1:8" ht="13.5" customHeight="1">
      <c r="A17" s="49" t="str">
        <f>HLOOKUP(INDICE!$F$2,Nombres!$C$3:$E$853,51)</f>
        <v>Impairment on financial assets (net)</v>
      </c>
      <c r="B17" s="149">
        <v>-25.16</v>
      </c>
      <c r="C17" s="84">
        <v>-25.331000000000003</v>
      </c>
      <c r="D17" s="84">
        <v>-50.100999999999999</v>
      </c>
      <c r="E17" s="150">
        <v>-45.805</v>
      </c>
      <c r="F17" s="84">
        <v>-33.067999999999998</v>
      </c>
      <c r="G17" s="84">
        <v>-37.912999999999997</v>
      </c>
      <c r="H17" s="84">
        <v>-38.181750000000008</v>
      </c>
    </row>
    <row r="18" spans="1:8" ht="13.5" customHeight="1">
      <c r="A18" s="49" t="str">
        <f>HLOOKUP(INDICE!$F$2,Nombres!$C$3:$E$853,160)</f>
        <v>Provisions (net) and other gains/losses</v>
      </c>
      <c r="B18" s="149">
        <v>-4.5600000000000005</v>
      </c>
      <c r="C18" s="84">
        <v>-4.3740000000000006</v>
      </c>
      <c r="D18" s="84">
        <v>6.8929999999999998</v>
      </c>
      <c r="E18" s="150">
        <v>-9.0239999999999991</v>
      </c>
      <c r="F18" s="84">
        <v>-0.47799999999999987</v>
      </c>
      <c r="G18" s="84">
        <v>1.0269999999999997</v>
      </c>
      <c r="H18" s="84">
        <v>-0.44850000000000001</v>
      </c>
    </row>
    <row r="19" spans="1:8" ht="12.75" customHeight="1">
      <c r="A19" s="54" t="str">
        <f>HLOOKUP(INDICE!$F$2,Nombres!$C$3:$E$853,54)</f>
        <v>Income before tax</v>
      </c>
      <c r="B19" s="147">
        <v>88.210940499999992</v>
      </c>
      <c r="C19" s="83">
        <v>107.79293201000002</v>
      </c>
      <c r="D19" s="83">
        <v>100.8435105426</v>
      </c>
      <c r="E19" s="148">
        <v>95.422060527399992</v>
      </c>
      <c r="F19" s="83">
        <v>106.60480502999999</v>
      </c>
      <c r="G19" s="83">
        <v>111.99806932</v>
      </c>
      <c r="H19" s="83">
        <v>60.209024932500085</v>
      </c>
    </row>
    <row r="20" spans="1:8" ht="13.5" customHeight="1">
      <c r="A20" s="49" t="str">
        <f>HLOOKUP(INDICE!$F$2,Nombres!$C$3:$E$853,55)</f>
        <v>Income tax</v>
      </c>
      <c r="B20" s="149">
        <v>-18.557582149999998</v>
      </c>
      <c r="C20" s="84">
        <v>-22.917379599999997</v>
      </c>
      <c r="D20" s="84">
        <v>-19.907787159999998</v>
      </c>
      <c r="E20" s="150">
        <v>-20.399074159999998</v>
      </c>
      <c r="F20" s="84">
        <v>-20.910441509999998</v>
      </c>
      <c r="G20" s="84">
        <v>-23.258720789999998</v>
      </c>
      <c r="H20" s="84">
        <v>-10.238532059999994</v>
      </c>
    </row>
    <row r="21" spans="1:8" ht="13.5" customHeight="1">
      <c r="A21" s="54" t="str">
        <f>HLOOKUP(INDICE!$F$2,Nombres!$C$3:$E$853,56)</f>
        <v>Net income</v>
      </c>
      <c r="B21" s="147">
        <v>69.653358349999991</v>
      </c>
      <c r="C21" s="83">
        <v>84.875552409999997</v>
      </c>
      <c r="D21" s="83">
        <v>80.935723382600003</v>
      </c>
      <c r="E21" s="148">
        <v>75.022986367399994</v>
      </c>
      <c r="F21" s="83">
        <v>85.694363519999996</v>
      </c>
      <c r="G21" s="83">
        <v>88.739348530000001</v>
      </c>
      <c r="H21" s="83">
        <v>49.970492872500095</v>
      </c>
    </row>
    <row r="22" spans="1:8" ht="12" customHeight="1">
      <c r="A22" s="49" t="str">
        <f>HLOOKUP(INDICE!$F$2,Nombres!$C$3:$E$853,57)</f>
        <v>Non-controlling interests</v>
      </c>
      <c r="B22" s="241">
        <v>0</v>
      </c>
      <c r="C22" s="236">
        <v>0</v>
      </c>
      <c r="D22" s="236">
        <v>0</v>
      </c>
      <c r="E22" s="237">
        <v>0</v>
      </c>
      <c r="F22" s="236">
        <v>0</v>
      </c>
      <c r="G22" s="236">
        <v>0</v>
      </c>
      <c r="H22" s="84">
        <v>0</v>
      </c>
    </row>
    <row r="23" spans="1:8" ht="14.25" customHeight="1">
      <c r="A23" s="54" t="str">
        <f>HLOOKUP(INDICE!$F$2,Nombres!$C$3:$E$853,58)</f>
        <v>Net attributable profit</v>
      </c>
      <c r="B23" s="147">
        <v>69.653358349999991</v>
      </c>
      <c r="C23" s="83">
        <v>84.875552409999997</v>
      </c>
      <c r="D23" s="83">
        <v>80.935723382600003</v>
      </c>
      <c r="E23" s="148">
        <v>75.022986367399994</v>
      </c>
      <c r="F23" s="83">
        <v>85.694363519999996</v>
      </c>
      <c r="G23" s="83">
        <v>88.739348530000001</v>
      </c>
      <c r="H23" s="83">
        <v>49.970492872500103</v>
      </c>
    </row>
    <row r="24" spans="1:8" ht="42.75" customHeight="1">
      <c r="A24" s="251" t="str">
        <f>HLOOKUP(INDICE!$F$2,Nombres!$C$3:$E$853,311)</f>
        <v>(*) Garanti's financial statements integrated in the proportion corresponding to the percentage of the Group's stake (25.01%) until the second quarter of 2015.</v>
      </c>
      <c r="B24" s="251"/>
      <c r="C24" s="251"/>
      <c r="D24" s="251"/>
      <c r="E24" s="251"/>
      <c r="F24" s="251"/>
      <c r="G24" s="251"/>
      <c r="H24" s="251"/>
    </row>
    <row r="25" spans="1:8" ht="12.75" customHeight="1">
      <c r="A25" s="144" t="str">
        <f>HLOOKUP(INDICE!$F$2,Nombres!$C$3:$E$853,293)</f>
        <v xml:space="preserve">Balance sheet (*)  </v>
      </c>
      <c r="B25" s="192"/>
      <c r="C25" s="170"/>
      <c r="D25" s="170"/>
      <c r="E25" s="170"/>
      <c r="F25" s="170"/>
      <c r="G25" s="170"/>
      <c r="H25" s="170"/>
    </row>
    <row r="26" spans="1:8" ht="13.5" customHeight="1">
      <c r="A26" s="41" t="str">
        <f>HLOOKUP(INDICE!$F$2,Nombres!$C$3:$E$853,30)</f>
        <v>(Million euros)</v>
      </c>
      <c r="B26" s="81">
        <v>41729</v>
      </c>
      <c r="C26" s="82">
        <v>41820</v>
      </c>
      <c r="D26" s="82">
        <v>41912</v>
      </c>
      <c r="E26" s="82">
        <v>42004</v>
      </c>
      <c r="F26" s="81">
        <v>42094</v>
      </c>
      <c r="G26" s="82">
        <v>42185</v>
      </c>
      <c r="H26" s="82">
        <v>42277</v>
      </c>
    </row>
    <row r="27" spans="1:8">
      <c r="A27" s="49" t="str">
        <f>HLOOKUP(INDICE!$F$2,Nombres!$C$3:$E$853,100)</f>
        <v>Cash and balances with central banks</v>
      </c>
      <c r="B27" s="149">
        <v>2023.8420000000001</v>
      </c>
      <c r="C27" s="84">
        <v>2205.8809999999999</v>
      </c>
      <c r="D27" s="84">
        <v>2226.152</v>
      </c>
      <c r="E27" s="150">
        <v>2478.34</v>
      </c>
      <c r="F27" s="84">
        <v>2430.1469999999999</v>
      </c>
      <c r="G27" s="84">
        <v>2316.5509999999999</v>
      </c>
      <c r="H27" s="84">
        <v>2608.7492499999998</v>
      </c>
    </row>
    <row r="28" spans="1:8">
      <c r="A28" s="49" t="str">
        <f>HLOOKUP(INDICE!$F$2,Nombres!$C$3:$E$853,101)</f>
        <v>Financial assets</v>
      </c>
      <c r="B28" s="149">
        <v>3847.7910000000002</v>
      </c>
      <c r="C28" s="84">
        <v>4122.3959999999997</v>
      </c>
      <c r="D28" s="84">
        <v>4282.2110000000002</v>
      </c>
      <c r="E28" s="150">
        <v>4508.1210000000001</v>
      </c>
      <c r="F28" s="84">
        <v>4469.3050000000003</v>
      </c>
      <c r="G28" s="84">
        <v>4298.3500000000004</v>
      </c>
      <c r="H28" s="84">
        <v>3952.5959999999995</v>
      </c>
    </row>
    <row r="29" spans="1:8">
      <c r="A29" s="49" t="str">
        <f>HLOOKUP(INDICE!$F$2,Nombres!$C$3:$E$853,102)</f>
        <v>Loans and receivables</v>
      </c>
      <c r="B29" s="149">
        <v>12747.96</v>
      </c>
      <c r="C29" s="84">
        <v>13095.614</v>
      </c>
      <c r="D29" s="84">
        <v>13997.549000000001</v>
      </c>
      <c r="E29" s="150">
        <v>14464.214</v>
      </c>
      <c r="F29" s="84">
        <v>15748.941000000001</v>
      </c>
      <c r="G29" s="84">
        <v>15036.8</v>
      </c>
      <c r="H29" s="84">
        <v>14429.805999999997</v>
      </c>
    </row>
    <row r="30" spans="1:8">
      <c r="A30" s="49" t="str">
        <f>HLOOKUP(INDICE!$F$2,Nombres!$C$3:$E$853,103)</f>
        <v xml:space="preserve">  . Loans and advances to customers</v>
      </c>
      <c r="B30" s="149">
        <v>11334.891</v>
      </c>
      <c r="C30" s="84">
        <v>11823.876</v>
      </c>
      <c r="D30" s="84">
        <v>12633.233</v>
      </c>
      <c r="E30" s="150">
        <v>13097.802</v>
      </c>
      <c r="F30" s="84">
        <v>14176.656000000001</v>
      </c>
      <c r="G30" s="84">
        <v>13796.26</v>
      </c>
      <c r="H30" s="84">
        <v>13057.630250000002</v>
      </c>
    </row>
    <row r="31" spans="1:8">
      <c r="A31" s="49" t="str">
        <f>HLOOKUP(INDICE!$F$2,Nombres!$C$3:$E$853,104)</f>
        <v xml:space="preserve">  . Loans and advances to credit institutions and other</v>
      </c>
      <c r="B31" s="154">
        <v>1413.069</v>
      </c>
      <c r="C31" s="84">
        <v>1271.7379999999998</v>
      </c>
      <c r="D31" s="84">
        <v>1364.3159999999998</v>
      </c>
      <c r="E31" s="150">
        <v>1366.412</v>
      </c>
      <c r="F31" s="84">
        <v>1572.2849999999999</v>
      </c>
      <c r="G31" s="84">
        <v>1240.54</v>
      </c>
      <c r="H31" s="84">
        <v>1372.1757499999997</v>
      </c>
    </row>
    <row r="32" spans="1:8">
      <c r="A32" s="49" t="str">
        <f>HLOOKUP(INDICE!$F$2,Nombres!$C$3:$E$853,106)</f>
        <v>Tangible assets</v>
      </c>
      <c r="B32" s="155">
        <v>175.142</v>
      </c>
      <c r="C32" s="84">
        <v>180.999</v>
      </c>
      <c r="D32" s="84">
        <v>181.238</v>
      </c>
      <c r="E32" s="150">
        <v>194.404</v>
      </c>
      <c r="F32" s="84">
        <v>192.62200000000001</v>
      </c>
      <c r="G32" s="84">
        <v>182.77</v>
      </c>
      <c r="H32" s="84">
        <v>212.65475000000004</v>
      </c>
    </row>
    <row r="33" spans="1:8">
      <c r="A33" s="49" t="str">
        <f>HLOOKUP(INDICE!$F$2,Nombres!$C$3:$E$853,107)</f>
        <v>Other assets</v>
      </c>
      <c r="B33" s="149">
        <v>635.71299999999997</v>
      </c>
      <c r="C33" s="84">
        <v>618.89999999999986</v>
      </c>
      <c r="D33" s="84">
        <v>669.11000000000013</v>
      </c>
      <c r="E33" s="150">
        <v>697.22199999999998</v>
      </c>
      <c r="F33" s="84">
        <v>779.40499999999997</v>
      </c>
      <c r="G33" s="84">
        <v>664.51600000000008</v>
      </c>
      <c r="H33" s="84">
        <v>634.88480879749477</v>
      </c>
    </row>
    <row r="34" spans="1:8">
      <c r="A34" s="54" t="str">
        <f>HLOOKUP(INDICE!$F$2,Nombres!$C$3:$E$853,108)</f>
        <v>Total assets / Liabilities and equity</v>
      </c>
      <c r="B34" s="147">
        <v>19430.447999999997</v>
      </c>
      <c r="C34" s="83">
        <v>20223.79</v>
      </c>
      <c r="D34" s="83">
        <v>21356.260000000006</v>
      </c>
      <c r="E34" s="148">
        <v>22342.300999999996</v>
      </c>
      <c r="F34" s="83">
        <v>23620.42</v>
      </c>
      <c r="G34" s="83">
        <v>22498.987000000001</v>
      </c>
      <c r="H34" s="83">
        <v>21838.690808797495</v>
      </c>
    </row>
    <row r="35" spans="1:8">
      <c r="A35" s="49" t="str">
        <f>HLOOKUP(INDICE!$F$2,Nombres!$C$3:$E$853,109)</f>
        <v>Deposits from central banks and credit institutions</v>
      </c>
      <c r="B35" s="149">
        <v>4407.1009999999997</v>
      </c>
      <c r="C35" s="84">
        <v>4218.8</v>
      </c>
      <c r="D35" s="84">
        <v>4619.1540000000005</v>
      </c>
      <c r="E35" s="150">
        <v>4373.9040000000005</v>
      </c>
      <c r="F35" s="84">
        <v>4348.66</v>
      </c>
      <c r="G35" s="84">
        <v>4230.7110000000002</v>
      </c>
      <c r="H35" s="84">
        <v>3972.0280000000002</v>
      </c>
    </row>
    <row r="36" spans="1:8">
      <c r="A36" s="49" t="str">
        <f>HLOOKUP(INDICE!$F$2,Nombres!$C$3:$E$853,110)</f>
        <v>Deposits from customers</v>
      </c>
      <c r="B36" s="149">
        <v>10132.687</v>
      </c>
      <c r="C36" s="84">
        <v>10354.254000000001</v>
      </c>
      <c r="D36" s="84">
        <v>10709.601000000001</v>
      </c>
      <c r="E36" s="150">
        <v>11625.644</v>
      </c>
      <c r="F36" s="84">
        <v>12507.075999999999</v>
      </c>
      <c r="G36" s="84">
        <v>12018.362999999999</v>
      </c>
      <c r="H36" s="84">
        <v>11597.101750000002</v>
      </c>
    </row>
    <row r="37" spans="1:8">
      <c r="A37" s="49" t="str">
        <f>HLOOKUP(INDICE!$F$2,Nombres!$C$3:$E$853,111)</f>
        <v>Debt certificates</v>
      </c>
      <c r="B37" s="149">
        <v>940.41499999999996</v>
      </c>
      <c r="C37" s="84">
        <v>1139.0139999999999</v>
      </c>
      <c r="D37" s="84">
        <v>1291.1489999999999</v>
      </c>
      <c r="E37" s="150">
        <v>1297.318</v>
      </c>
      <c r="F37" s="84">
        <v>1306.1030000000001</v>
      </c>
      <c r="G37" s="84">
        <v>1257.7339999999999</v>
      </c>
      <c r="H37" s="84">
        <v>1957.6087500000003</v>
      </c>
    </row>
    <row r="38" spans="1:8" ht="13.5" customHeight="1">
      <c r="A38" s="49" t="str">
        <f>HLOOKUP(INDICE!$F$2,Nombres!$C$3:$E$853,112)</f>
        <v>Subordinated liabilities</v>
      </c>
      <c r="B38" s="149">
        <v>23.295999999999999</v>
      </c>
      <c r="C38" s="84">
        <v>23.667000000000002</v>
      </c>
      <c r="D38" s="84">
        <v>23.154</v>
      </c>
      <c r="E38" s="150">
        <v>23.353999999999999</v>
      </c>
      <c r="F38" s="84">
        <v>22.931999999999999</v>
      </c>
      <c r="G38" s="84">
        <v>22.875</v>
      </c>
      <c r="H38" s="84">
        <v>12.804249999999996</v>
      </c>
    </row>
    <row r="39" spans="1:8">
      <c r="A39" s="49" t="str">
        <f>HLOOKUP(INDICE!$F$2,Nombres!$C$3:$E$853,114)</f>
        <v xml:space="preserve">Financial liabilities held for trading </v>
      </c>
      <c r="B39" s="149">
        <v>165.523</v>
      </c>
      <c r="C39" s="84">
        <v>119.95399999999999</v>
      </c>
      <c r="D39" s="84">
        <v>167.76599999999999</v>
      </c>
      <c r="E39" s="150">
        <v>191.74600000000001</v>
      </c>
      <c r="F39" s="84">
        <v>372.90800000000002</v>
      </c>
      <c r="G39" s="84">
        <v>241.804</v>
      </c>
      <c r="H39" s="84">
        <v>276.33050000000003</v>
      </c>
    </row>
    <row r="40" spans="1:8">
      <c r="A40" s="49" t="str">
        <f>HLOOKUP(INDICE!$F$2,Nombres!$C$3:$E$853,115)</f>
        <v>Other liabilities</v>
      </c>
      <c r="B40" s="149">
        <v>2972.8192699999918</v>
      </c>
      <c r="C40" s="84">
        <v>3547.5556199999992</v>
      </c>
      <c r="D40" s="84">
        <v>3684.7637486900071</v>
      </c>
      <c r="E40" s="150">
        <v>3912.6794688299947</v>
      </c>
      <c r="F40" s="84">
        <v>4119.981060000001</v>
      </c>
      <c r="G40" s="84">
        <v>3725.3404000000046</v>
      </c>
      <c r="H40" s="84">
        <v>3055.8713229600016</v>
      </c>
    </row>
    <row r="41" spans="1:8" ht="12.75" customHeight="1">
      <c r="A41" s="49" t="str">
        <f>HLOOKUP(INDICE!$F$2,Nombres!$C$3:$E$853,116)</f>
        <v>Economic capital allocated</v>
      </c>
      <c r="B41" s="149">
        <v>788.60672999999997</v>
      </c>
      <c r="C41" s="84">
        <v>820.54538000000002</v>
      </c>
      <c r="D41" s="84">
        <v>860.67225130999998</v>
      </c>
      <c r="E41" s="150">
        <v>917.65553117000002</v>
      </c>
      <c r="F41" s="84">
        <v>942.75994000000003</v>
      </c>
      <c r="G41" s="84">
        <v>1002.1596</v>
      </c>
      <c r="H41" s="84">
        <v>966.94623583750013</v>
      </c>
    </row>
    <row r="42" spans="1:8" ht="31.5" customHeight="1">
      <c r="A42" s="251" t="str">
        <f>HLOOKUP(INDICE!$F$2,Nombres!$C$3:$E$853,311)</f>
        <v>(*) Garanti's financial statements integrated in the proportion corresponding to the percentage of the Group's stake (25.01%) until the second quarter of 2015.</v>
      </c>
      <c r="B42" s="251"/>
      <c r="C42" s="251"/>
      <c r="D42" s="251"/>
      <c r="E42" s="251"/>
      <c r="F42" s="251"/>
      <c r="G42" s="251"/>
      <c r="H42" s="251"/>
    </row>
    <row r="43" spans="1:8" ht="24" customHeight="1">
      <c r="A43" s="144" t="str">
        <f>HLOOKUP(INDICE!$F$2,Nombres!$C$3:$E$853,117)</f>
        <v>Relevant business indicators</v>
      </c>
      <c r="B43" s="170"/>
      <c r="C43" s="170"/>
      <c r="D43" s="170"/>
      <c r="E43" s="170"/>
      <c r="F43" s="170"/>
      <c r="G43" s="170"/>
      <c r="H43" s="170"/>
    </row>
    <row r="44" spans="1:8" ht="38.25" customHeight="1">
      <c r="A44" s="144" t="str">
        <f>HLOOKUP(INDICE!$F$2,Nombres!$C$3:$E$853,201)</f>
        <v>Annex:</v>
      </c>
    </row>
    <row r="45" spans="1:8" ht="12" customHeight="1">
      <c r="A45" s="41" t="str">
        <f>HLOOKUP(INDICE!$F$2,Nombres!$C$3:$E$853,30)</f>
        <v>(Million euros)</v>
      </c>
      <c r="B45" s="81">
        <v>41729</v>
      </c>
      <c r="C45" s="82">
        <v>41820</v>
      </c>
      <c r="D45" s="82">
        <v>41912</v>
      </c>
      <c r="E45" s="82">
        <v>42004</v>
      </c>
      <c r="F45" s="81">
        <v>42094</v>
      </c>
      <c r="G45" s="82">
        <v>42185</v>
      </c>
      <c r="H45" s="82">
        <v>42277</v>
      </c>
    </row>
    <row r="46" spans="1:8">
      <c r="A46" s="49" t="str">
        <f>HLOOKUP(INDICE!$F$2,Nombres!$C$3:$E$853,314)</f>
        <v>Loans and advances to customers gross (**)</v>
      </c>
      <c r="B46" s="149">
        <v>11775.187</v>
      </c>
      <c r="C46" s="84">
        <v>12270.794</v>
      </c>
      <c r="D46" s="84">
        <v>13117.258</v>
      </c>
      <c r="E46" s="150">
        <v>13634.606</v>
      </c>
      <c r="F46" s="84">
        <v>14741.394</v>
      </c>
      <c r="G46" s="84">
        <v>14355.491</v>
      </c>
      <c r="H46" s="84">
        <v>13580.744749999998</v>
      </c>
    </row>
    <row r="47" spans="1:8">
      <c r="A47" s="49" t="str">
        <f>HLOOKUP(INDICE!$F$2,Nombres!$C$3:$E$853,315)</f>
        <v>Customer deposits under management (***)</v>
      </c>
      <c r="B47" s="149">
        <v>9055.4374859500003</v>
      </c>
      <c r="C47" s="84">
        <v>8873.3461335699994</v>
      </c>
      <c r="D47" s="84">
        <v>9372.6080181199995</v>
      </c>
      <c r="E47" s="150">
        <v>10011.45487369</v>
      </c>
      <c r="F47" s="84">
        <v>11088.068025930001</v>
      </c>
      <c r="G47" s="84">
        <v>10964.57896957</v>
      </c>
      <c r="H47" s="84">
        <v>10432.844962479998</v>
      </c>
    </row>
    <row r="48" spans="1:8">
      <c r="A48" s="49" t="str">
        <f>HLOOKUP(INDICE!$F$2,Nombres!$C$3:$E$853,122)</f>
        <v>Mutual funds</v>
      </c>
      <c r="B48" s="149">
        <v>350.24700000000001</v>
      </c>
      <c r="C48" s="84">
        <v>373.54899999999998</v>
      </c>
      <c r="D48" s="84">
        <v>340.44600000000003</v>
      </c>
      <c r="E48" s="150">
        <v>343.76100000000002</v>
      </c>
      <c r="F48" s="84">
        <v>365.12599999999998</v>
      </c>
      <c r="G48" s="84">
        <v>352.35899999999998</v>
      </c>
      <c r="H48" s="84">
        <v>307.89800000000002</v>
      </c>
    </row>
    <row r="49" spans="1:8">
      <c r="A49" s="49" t="str">
        <f>HLOOKUP(INDICE!$F$2,Nombres!$C$3:$E$853,206)</f>
        <v>Pension funds</v>
      </c>
      <c r="B49" s="149">
        <v>384.97699999999998</v>
      </c>
      <c r="C49" s="84">
        <v>444.32499999999999</v>
      </c>
      <c r="D49" s="84">
        <v>470.173</v>
      </c>
      <c r="E49" s="150">
        <v>537.91899999999998</v>
      </c>
      <c r="F49" s="84">
        <v>572.24800000000005</v>
      </c>
      <c r="G49" s="84">
        <v>563.24800000000005</v>
      </c>
      <c r="H49" s="84">
        <v>513.08624999999984</v>
      </c>
    </row>
    <row r="50" spans="1:8">
      <c r="A50" s="49" t="str">
        <f>HLOOKUP(INDICE!$F$2,Nombres!$C$3:$E$853,308)</f>
        <v>Other off balance-sheet funds</v>
      </c>
      <c r="B50" s="241">
        <v>0</v>
      </c>
      <c r="C50" s="236">
        <v>0</v>
      </c>
      <c r="D50" s="236">
        <v>0</v>
      </c>
      <c r="E50" s="237">
        <v>0</v>
      </c>
      <c r="F50" s="236">
        <v>0</v>
      </c>
      <c r="G50" s="236">
        <v>0</v>
      </c>
      <c r="H50" s="236">
        <v>0</v>
      </c>
    </row>
    <row r="51" spans="1:8">
      <c r="A51" s="156" t="str">
        <f>HLOOKUP(INDICE!$F$2,Nombres!$C$3:$E$853,312)</f>
        <v xml:space="preserve">(**) Excluding repos. </v>
      </c>
      <c r="B51" s="157"/>
      <c r="C51" s="84"/>
      <c r="D51" s="84"/>
      <c r="E51" s="84"/>
      <c r="F51" s="84"/>
      <c r="G51" s="84"/>
      <c r="H51" s="84"/>
    </row>
    <row r="52" spans="1:8">
      <c r="A52" s="156" t="str">
        <f>HLOOKUP(INDICE!$F$2,Nombres!$C$3:$E$853,313)</f>
        <v xml:space="preserve">(***) Excluding repos. </v>
      </c>
      <c r="C52"/>
      <c r="D52"/>
      <c r="E52"/>
    </row>
    <row r="53" spans="1:8" ht="18">
      <c r="A53" s="144" t="str">
        <f>HLOOKUP(INDICE!$F$2,Nombres!$C$3:$E$853,304)</f>
        <v>Income statement (*)</v>
      </c>
      <c r="B53" s="192"/>
      <c r="C53" s="145"/>
      <c r="D53" s="145"/>
      <c r="E53" s="145"/>
      <c r="G53" s="74"/>
      <c r="H53" s="74"/>
    </row>
    <row r="54" spans="1:8">
      <c r="A54" s="41" t="str">
        <f>HLOOKUP(INDICE!$F$2,Nombres!$C$3:$E$853,31)</f>
        <v xml:space="preserve">(Constant million euros)    </v>
      </c>
      <c r="C54" s="145"/>
      <c r="D54" s="145"/>
      <c r="E54" s="145"/>
      <c r="G54" s="74"/>
      <c r="H54" s="74"/>
    </row>
    <row r="55" spans="1:8">
      <c r="A55" s="146"/>
      <c r="B55" s="252">
        <v>2014</v>
      </c>
      <c r="C55" s="252"/>
      <c r="D55" s="252"/>
      <c r="E55" s="252"/>
      <c r="F55" s="253">
        <v>2015</v>
      </c>
      <c r="G55" s="254"/>
      <c r="H55" s="254"/>
    </row>
    <row r="56" spans="1:8">
      <c r="A56" s="146"/>
      <c r="B56" s="146" t="str">
        <f>HLOOKUP(INDICE!$F$2,Nombres!$C$3:$E$857,34)</f>
        <v>1st Quarter</v>
      </c>
      <c r="C56" s="146" t="str">
        <f>HLOOKUP(INDICE!$F$2,Nombres!$C$3:$E$857,35)</f>
        <v>2nd Quarter</v>
      </c>
      <c r="D56" s="146" t="str">
        <f>HLOOKUP(INDICE!$F$2,Nombres!$C$3:$E$857,36)</f>
        <v>3rd Quarter</v>
      </c>
      <c r="E56" s="146" t="str">
        <f>HLOOKUP(INDICE!$F$2,Nombres!$C$3:$E$857,37)</f>
        <v>4th Quarter</v>
      </c>
      <c r="F56" s="146" t="str">
        <f>HLOOKUP(INDICE!$F$2,Nombres!$C$3:$E$857,34)</f>
        <v>1st Quarter</v>
      </c>
      <c r="G56" s="146" t="str">
        <f>HLOOKUP(INDICE!$F$2,Nombres!$C$3:$E$857,35)</f>
        <v>2nd Quarter</v>
      </c>
      <c r="H56" s="146" t="str">
        <f>HLOOKUP(INDICE!$F$2,Nombres!$C$3:$E$857,36)</f>
        <v>3rd Quarter</v>
      </c>
    </row>
    <row r="57" spans="1:8">
      <c r="A57" s="54" t="str">
        <f>HLOOKUP(INDICE!$F$2,Nombres!$C$3:$E$853,38)</f>
        <v>Net interest income</v>
      </c>
      <c r="B57" s="147">
        <v>149.65989312319999</v>
      </c>
      <c r="C57" s="83">
        <v>163.71514744019998</v>
      </c>
      <c r="D57" s="83">
        <v>190.4848293842</v>
      </c>
      <c r="E57" s="148">
        <v>215.05755859679999</v>
      </c>
      <c r="F57" s="54">
        <v>196.4553140246</v>
      </c>
      <c r="G57" s="54">
        <v>213.13464473049999</v>
      </c>
      <c r="H57" s="54">
        <v>239.25724277490002</v>
      </c>
    </row>
    <row r="58" spans="1:8">
      <c r="A58" s="49" t="str">
        <f>HLOOKUP(INDICE!$F$2,Nombres!$C$3:$E$853,39)</f>
        <v>Net fees and commissions</v>
      </c>
      <c r="B58" s="149">
        <v>42.674099868799999</v>
      </c>
      <c r="C58" s="84">
        <v>51.937717043899994</v>
      </c>
      <c r="D58" s="84">
        <v>46.004945171399996</v>
      </c>
      <c r="E58" s="150">
        <v>46.128916290600003</v>
      </c>
      <c r="F58" s="73">
        <v>46.3311795352</v>
      </c>
      <c r="G58" s="73">
        <v>48.182447039799996</v>
      </c>
      <c r="H58" s="73">
        <v>45.907123422699996</v>
      </c>
    </row>
    <row r="59" spans="1:8">
      <c r="A59" s="49" t="str">
        <f>HLOOKUP(INDICE!$F$2,Nombres!$C$3:$E$853,40)</f>
        <v>Net trading income</v>
      </c>
      <c r="B59" s="149">
        <v>18.255883797200003</v>
      </c>
      <c r="C59" s="84">
        <v>7.6268221307000008</v>
      </c>
      <c r="D59" s="84">
        <v>-2.9700153790999999</v>
      </c>
      <c r="E59" s="150">
        <v>-21.657150511499999</v>
      </c>
      <c r="F59" s="73">
        <v>-13.7319412632</v>
      </c>
      <c r="G59" s="73">
        <v>-7.2165827739999999</v>
      </c>
      <c r="H59" s="73">
        <v>-55.152975962699998</v>
      </c>
    </row>
    <row r="60" spans="1:8" ht="17.25" customHeight="1">
      <c r="A60" s="49" t="str">
        <f>HLOOKUP(INDICE!$F$2,Nombres!$C$3:$E$853,95)</f>
        <v>Other income/expenses</v>
      </c>
      <c r="B60" s="149">
        <v>3.8696092476000001</v>
      </c>
      <c r="C60" s="84">
        <v>3.5345852830000002</v>
      </c>
      <c r="D60" s="84">
        <v>4.1854789001999997</v>
      </c>
      <c r="E60" s="150">
        <v>5.6786504209000004</v>
      </c>
      <c r="F60" s="73">
        <v>4.4238755493999999</v>
      </c>
      <c r="G60" s="73">
        <v>4.2564094946999997</v>
      </c>
      <c r="H60" s="73">
        <v>3.6959649559000014</v>
      </c>
    </row>
    <row r="61" spans="1:8" ht="15.75" customHeight="1">
      <c r="A61" s="54" t="str">
        <f>HLOOKUP(INDICE!$F$2,Nombres!$C$3:$E$853,44)</f>
        <v>Gross income</v>
      </c>
      <c r="B61" s="147">
        <v>214.45948603689999</v>
      </c>
      <c r="C61" s="83">
        <v>226.81427189779998</v>
      </c>
      <c r="D61" s="83">
        <v>237.70523807660004</v>
      </c>
      <c r="E61" s="148">
        <v>245.20797479689998</v>
      </c>
      <c r="F61" s="54">
        <v>233.47842784600002</v>
      </c>
      <c r="G61" s="54">
        <v>258.35691849099999</v>
      </c>
      <c r="H61" s="54">
        <v>233.70735519080009</v>
      </c>
    </row>
    <row r="62" spans="1:8">
      <c r="A62" s="49" t="str">
        <f>HLOOKUP(INDICE!$F$2,Nombres!$C$3:$E$853,45)</f>
        <v>Operating expenses</v>
      </c>
      <c r="B62" s="149">
        <v>-93.834501245699997</v>
      </c>
      <c r="C62" s="84">
        <v>-92.211428133200002</v>
      </c>
      <c r="D62" s="84">
        <v>-98.423564993900001</v>
      </c>
      <c r="E62" s="150">
        <v>-101.816261989</v>
      </c>
      <c r="F62" s="73">
        <v>-102.69009609880001</v>
      </c>
      <c r="G62" s="73">
        <v>-110.6699759243</v>
      </c>
      <c r="H62" s="73">
        <v>-124.30848022199999</v>
      </c>
    </row>
    <row r="63" spans="1:8">
      <c r="A63" s="49" t="str">
        <f>HLOOKUP(INDICE!$F$2,Nombres!$C$3:$E$853,46)</f>
        <v xml:space="preserve">  Administration expenses</v>
      </c>
      <c r="B63" s="149">
        <v>-85.385329688500008</v>
      </c>
      <c r="C63" s="84">
        <v>-83.721376974700007</v>
      </c>
      <c r="D63" s="84">
        <v>-89.762033100899998</v>
      </c>
      <c r="E63" s="150">
        <v>-92.978185198099993</v>
      </c>
      <c r="F63" s="73">
        <v>-93.756192503899996</v>
      </c>
      <c r="G63" s="73">
        <v>-101.70601074219999</v>
      </c>
      <c r="H63" s="73">
        <v>-108.0745889991</v>
      </c>
    </row>
    <row r="64" spans="1:8">
      <c r="A64" s="88" t="str">
        <f>HLOOKUP(INDICE!$F$2,Nombres!$C$3:$E$853,47)</f>
        <v xml:space="preserve">  Personnel expenses</v>
      </c>
      <c r="B64" s="149">
        <v>-47.9680257674</v>
      </c>
      <c r="C64" s="84">
        <v>-49.411971968899998</v>
      </c>
      <c r="D64" s="84">
        <v>-50.982913255699998</v>
      </c>
      <c r="E64" s="150">
        <v>-49.220457283800002</v>
      </c>
      <c r="F64" s="73">
        <v>-52.583763035200008</v>
      </c>
      <c r="G64" s="73">
        <v>-54.971982546199996</v>
      </c>
      <c r="H64" s="73">
        <v>-63.162720413599992</v>
      </c>
    </row>
    <row r="65" spans="1:8">
      <c r="A65" s="88" t="str">
        <f>HLOOKUP(INDICE!$F$2,Nombres!$C$3:$E$853,48)</f>
        <v xml:space="preserve">  General and administrative expenses</v>
      </c>
      <c r="B65" s="149">
        <v>-37.417303921200002</v>
      </c>
      <c r="C65" s="84">
        <v>-34.3094050057</v>
      </c>
      <c r="D65" s="84">
        <v>-38.779119845099999</v>
      </c>
      <c r="E65" s="150">
        <v>-43.757727914300006</v>
      </c>
      <c r="F65" s="73">
        <v>-41.172429468799997</v>
      </c>
      <c r="G65" s="73">
        <v>-46.734028195800001</v>
      </c>
      <c r="H65" s="73">
        <v>-44.911868585499995</v>
      </c>
    </row>
    <row r="66" spans="1:8" ht="13.5" customHeight="1">
      <c r="A66" s="49" t="str">
        <f>HLOOKUP(INDICE!$F$2,Nombres!$C$3:$E$853,49)</f>
        <v xml:space="preserve">  Depreciation and amortization</v>
      </c>
      <c r="B66" s="149">
        <v>-8.4491715569999997</v>
      </c>
      <c r="C66" s="84">
        <v>-8.4900511586</v>
      </c>
      <c r="D66" s="84">
        <v>-8.6615318929000011</v>
      </c>
      <c r="E66" s="150">
        <v>-8.8380767909000006</v>
      </c>
      <c r="F66" s="73">
        <v>-8.9339035949000003</v>
      </c>
      <c r="G66" s="73">
        <v>-8.963965182199999</v>
      </c>
      <c r="H66" s="73">
        <v>-16.233891222900002</v>
      </c>
    </row>
    <row r="67" spans="1:8" ht="14.25" customHeight="1">
      <c r="A67" s="54" t="str">
        <f>HLOOKUP(INDICE!$F$2,Nombres!$C$3:$E$853,50)</f>
        <v>Operating income</v>
      </c>
      <c r="B67" s="147">
        <v>120.62498479129999</v>
      </c>
      <c r="C67" s="83">
        <v>134.60284376450002</v>
      </c>
      <c r="D67" s="83">
        <v>139.28167308259998</v>
      </c>
      <c r="E67" s="148">
        <v>143.39171280799999</v>
      </c>
      <c r="F67" s="54">
        <v>130.7883317472</v>
      </c>
      <c r="G67" s="54">
        <v>147.68694256660001</v>
      </c>
      <c r="H67" s="54">
        <v>109.39887496880003</v>
      </c>
    </row>
    <row r="68" spans="1:8">
      <c r="A68" s="49" t="str">
        <f>HLOOKUP(INDICE!$F$2,Nombres!$C$3:$E$853,51)</f>
        <v>Impairment on financial assets (net)</v>
      </c>
      <c r="B68" s="149">
        <v>-25.7292200503</v>
      </c>
      <c r="C68" s="84">
        <v>-24.722222060900002</v>
      </c>
      <c r="D68" s="84">
        <v>-48.894823737700001</v>
      </c>
      <c r="E68" s="150">
        <v>-43.917409029399998</v>
      </c>
      <c r="F68" s="73">
        <v>-30.8756261435</v>
      </c>
      <c r="G68" s="73">
        <v>-37.530648167099997</v>
      </c>
      <c r="H68" s="73">
        <v>-40.756475689500007</v>
      </c>
    </row>
    <row r="69" spans="1:8" ht="16.5" customHeight="1">
      <c r="A69" s="49" t="str">
        <f>HLOOKUP(INDICE!$F$2,Nombres!$C$3:$E$853,160)</f>
        <v>Provisions (net) and other gains/losses</v>
      </c>
      <c r="B69" s="149">
        <v>-4.6631654781999998</v>
      </c>
      <c r="C69" s="84">
        <v>-4.2638350532000002</v>
      </c>
      <c r="D69" s="84">
        <v>6.9112763324000008</v>
      </c>
      <c r="E69" s="150">
        <v>-8.8124523520999993</v>
      </c>
      <c r="F69" s="73">
        <v>-0.44630909939999996</v>
      </c>
      <c r="G69" s="73">
        <v>0.97539497580000045</v>
      </c>
      <c r="H69" s="73">
        <v>-0.4285858764999998</v>
      </c>
    </row>
    <row r="70" spans="1:8" ht="12.75" customHeight="1">
      <c r="A70" s="54" t="str">
        <f>HLOOKUP(INDICE!$F$2,Nombres!$C$3:$E$853,54)</f>
        <v>Income before tax</v>
      </c>
      <c r="B70" s="147">
        <v>90.23259926290001</v>
      </c>
      <c r="C70" s="83">
        <v>105.61678665049999</v>
      </c>
      <c r="D70" s="83">
        <v>97.298125677600012</v>
      </c>
      <c r="E70" s="148">
        <v>90.661851426200002</v>
      </c>
      <c r="F70" s="54">
        <v>99.466396504299993</v>
      </c>
      <c r="G70" s="54">
        <v>111.1316893753</v>
      </c>
      <c r="H70" s="54">
        <v>68.213813402800014</v>
      </c>
    </row>
    <row r="71" spans="1:8" ht="13.5" customHeight="1">
      <c r="A71" s="49" t="str">
        <f>HLOOKUP(INDICE!$F$2,Nombres!$C$3:$E$853,55)</f>
        <v>Income tax</v>
      </c>
      <c r="B71" s="149">
        <v>-18.985221156000001</v>
      </c>
      <c r="C71" s="84">
        <v>-22.4569690718</v>
      </c>
      <c r="D71" s="84">
        <v>-19.173281455400002</v>
      </c>
      <c r="E71" s="150">
        <v>-19.396671308999998</v>
      </c>
      <c r="F71" s="73">
        <v>-19.502914687299999</v>
      </c>
      <c r="G71" s="73">
        <v>-23.041487281400002</v>
      </c>
      <c r="H71" s="73">
        <v>-11.8632923913</v>
      </c>
    </row>
    <row r="72" spans="1:8" ht="12.75" customHeight="1">
      <c r="A72" s="54" t="str">
        <f>HLOOKUP(INDICE!$F$2,Nombres!$C$3:$E$853,56)</f>
        <v>Net income</v>
      </c>
      <c r="B72" s="147">
        <v>71.247378106900001</v>
      </c>
      <c r="C72" s="83">
        <v>83.159817578900004</v>
      </c>
      <c r="D72" s="83">
        <v>78.124844222000007</v>
      </c>
      <c r="E72" s="148">
        <v>71.265180117400007</v>
      </c>
      <c r="F72" s="54">
        <v>79.963481817000002</v>
      </c>
      <c r="G72" s="54">
        <v>88.090202093999991</v>
      </c>
      <c r="H72" s="54">
        <v>56.350521011500042</v>
      </c>
    </row>
    <row r="73" spans="1:8" ht="12.75" customHeight="1">
      <c r="A73" s="49" t="str">
        <f>HLOOKUP(INDICE!$F$2,Nombres!$C$3:$E$853,57)</f>
        <v>Non-controlling interests</v>
      </c>
      <c r="B73" s="241">
        <v>0</v>
      </c>
      <c r="C73" s="236">
        <v>0</v>
      </c>
      <c r="D73" s="236">
        <v>0</v>
      </c>
      <c r="E73" s="237">
        <v>0</v>
      </c>
      <c r="F73" s="242">
        <v>0</v>
      </c>
      <c r="G73" s="242">
        <v>0</v>
      </c>
      <c r="H73" s="73">
        <v>0</v>
      </c>
    </row>
    <row r="74" spans="1:8" ht="15" customHeight="1">
      <c r="A74" s="54" t="str">
        <f>HLOOKUP(INDICE!$F$2,Nombres!$C$3:$E$853,58)</f>
        <v>Net attributable profit</v>
      </c>
      <c r="B74" s="147">
        <v>71.247378106900001</v>
      </c>
      <c r="C74" s="83">
        <v>83.159817578900004</v>
      </c>
      <c r="D74" s="83">
        <v>78.124844222000007</v>
      </c>
      <c r="E74" s="148">
        <v>71.265180117400007</v>
      </c>
      <c r="F74" s="54">
        <v>79.963481817000002</v>
      </c>
      <c r="G74" s="54">
        <v>88.090202093999991</v>
      </c>
      <c r="H74" s="54">
        <v>56.350521011500021</v>
      </c>
    </row>
    <row r="75" spans="1:8" ht="29.25" customHeight="1">
      <c r="A75" s="251" t="str">
        <f>HLOOKUP(INDICE!$F$2,Nombres!$C$3:$E$853,311)</f>
        <v>(*) Garanti's financial statements integrated in the proportion corresponding to the percentage of the Group's stake (25.01%) until the second quarter of 2015.</v>
      </c>
      <c r="B75" s="251"/>
      <c r="C75" s="251"/>
      <c r="D75" s="251"/>
      <c r="E75" s="251"/>
      <c r="F75" s="251"/>
      <c r="G75" s="251"/>
      <c r="H75" s="251"/>
    </row>
    <row r="76" spans="1:8" ht="15.75" customHeight="1">
      <c r="A76" s="144" t="str">
        <f>HLOOKUP(INDICE!$F$2,Nombres!$C$3:$E$853,293)</f>
        <v xml:space="preserve">Balance sheet (*)  </v>
      </c>
      <c r="G76" s="74"/>
      <c r="H76" s="74"/>
    </row>
    <row r="77" spans="1:8">
      <c r="A77" s="41" t="str">
        <f>HLOOKUP(INDICE!$F$2,Nombres!$C$3:$E$853,31)</f>
        <v xml:space="preserve">(Constant million euros)    </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Cash and balances with central banks</v>
      </c>
      <c r="B79" s="149">
        <v>1772.523346036</v>
      </c>
      <c r="C79" s="84">
        <v>1884.8496767904001</v>
      </c>
      <c r="D79" s="84">
        <v>1889.6947350839</v>
      </c>
      <c r="E79" s="150">
        <v>2070.2186251193002</v>
      </c>
      <c r="F79" s="158">
        <v>2016.4108500422001</v>
      </c>
      <c r="G79" s="84">
        <v>2046.6535464660999</v>
      </c>
      <c r="H79" s="84">
        <v>2608.7492499999998</v>
      </c>
    </row>
    <row r="80" spans="1:8">
      <c r="A80" s="49" t="str">
        <f>HLOOKUP(INDICE!$F$2,Nombres!$C$3:$E$853,101)</f>
        <v>Financial assets</v>
      </c>
      <c r="B80" s="149">
        <v>3370.0931793782001</v>
      </c>
      <c r="C80" s="84">
        <v>3522.8389712656999</v>
      </c>
      <c r="D80" s="84">
        <v>3635.5912434067</v>
      </c>
      <c r="E80" s="150">
        <v>3766.58764483</v>
      </c>
      <c r="F80" s="158">
        <v>3709.3961530072002</v>
      </c>
      <c r="G80" s="84">
        <v>3798.1227147932</v>
      </c>
      <c r="H80" s="84">
        <v>3952.5959999999995</v>
      </c>
    </row>
    <row r="81" spans="1:8">
      <c r="A81" s="49" t="str">
        <f>HLOOKUP(INDICE!$F$2,Nombres!$C$3:$E$853,102)</f>
        <v>Loans and receivables</v>
      </c>
      <c r="B81" s="149">
        <v>11164.931212186</v>
      </c>
      <c r="C81" s="84">
        <v>11189.7531259715</v>
      </c>
      <c r="D81" s="84">
        <v>11881.9804979078</v>
      </c>
      <c r="E81" s="150">
        <v>12082.3152676837</v>
      </c>
      <c r="F81" s="158">
        <v>13067.6603139952</v>
      </c>
      <c r="G81" s="84">
        <v>13284.887769577301</v>
      </c>
      <c r="H81" s="84">
        <v>14429.805999999997</v>
      </c>
    </row>
    <row r="82" spans="1:8">
      <c r="A82" s="49" t="str">
        <f>HLOOKUP(INDICE!$F$2,Nombres!$C$3:$E$853,103)</f>
        <v xml:space="preserve">  . Loans and advances to customers</v>
      </c>
      <c r="B82" s="149">
        <v>9927.3356923481006</v>
      </c>
      <c r="C82" s="84">
        <v>10103.0966117434</v>
      </c>
      <c r="D82" s="84">
        <v>10723.8651660748</v>
      </c>
      <c r="E82" s="150">
        <v>10940.917569229699</v>
      </c>
      <c r="F82" s="158">
        <v>11763.0591794306</v>
      </c>
      <c r="G82" s="84">
        <v>12188.8809946204</v>
      </c>
      <c r="H82" s="84">
        <v>13057.630250000002</v>
      </c>
    </row>
    <row r="83" spans="1:8">
      <c r="A83" s="49" t="str">
        <f>HLOOKUP(INDICE!$F$2,Nombres!$C$3:$E$853,104)</f>
        <v xml:space="preserve">  . Loans and advances to credit institutions and other</v>
      </c>
      <c r="B83" s="149">
        <v>1237.5955198379002</v>
      </c>
      <c r="C83" s="84">
        <v>1086.6565142282</v>
      </c>
      <c r="D83" s="84">
        <v>1158.115331833</v>
      </c>
      <c r="E83" s="150">
        <v>1141.397698454</v>
      </c>
      <c r="F83" s="158">
        <v>1304.6011345646</v>
      </c>
      <c r="G83" s="84">
        <v>1096.0067749568</v>
      </c>
      <c r="H83" s="84">
        <v>1372.1757499999997</v>
      </c>
    </row>
    <row r="84" spans="1:8">
      <c r="A84" s="49" t="str">
        <f>HLOOKUP(INDICE!$F$2,Nombres!$C$3:$E$853,106)</f>
        <v>Tangible assets</v>
      </c>
      <c r="B84" s="149">
        <v>153.3930434646</v>
      </c>
      <c r="C84" s="84">
        <v>154.6574392043</v>
      </c>
      <c r="D84" s="84">
        <v>153.8459612808</v>
      </c>
      <c r="E84" s="150">
        <v>162.3904636158</v>
      </c>
      <c r="F84" s="158">
        <v>159.8278173118</v>
      </c>
      <c r="G84" s="84">
        <v>161.47577527440001</v>
      </c>
      <c r="H84" s="84">
        <v>212.65475000000004</v>
      </c>
    </row>
    <row r="85" spans="1:8">
      <c r="A85" s="49" t="str">
        <f>HLOOKUP(INDICE!$F$2,Nombres!$C$3:$E$853,107)</f>
        <v>Other assets</v>
      </c>
      <c r="B85" s="149">
        <v>556.77080220620007</v>
      </c>
      <c r="C85" s="84">
        <v>528.828828466</v>
      </c>
      <c r="D85" s="84">
        <v>567.9817210110001</v>
      </c>
      <c r="E85" s="150">
        <v>582.40676026820006</v>
      </c>
      <c r="F85" s="158">
        <v>646.71013670249988</v>
      </c>
      <c r="G85" s="84">
        <v>587.09436057460005</v>
      </c>
      <c r="H85" s="84">
        <v>634.88480879749477</v>
      </c>
    </row>
    <row r="86" spans="1:8">
      <c r="A86" s="54" t="str">
        <f>HLOOKUP(INDICE!$F$2,Nombres!$C$3:$E$853,108)</f>
        <v>Total assets / Liabilities and equity</v>
      </c>
      <c r="B86" s="147">
        <v>17017.711583271001</v>
      </c>
      <c r="C86" s="83">
        <v>17280.928041697902</v>
      </c>
      <c r="D86" s="83">
        <v>18129.094158690204</v>
      </c>
      <c r="E86" s="148">
        <v>18663.918761517099</v>
      </c>
      <c r="F86" s="147">
        <v>19600.005271059003</v>
      </c>
      <c r="G86" s="83">
        <v>19878.234166685601</v>
      </c>
      <c r="H86" s="83">
        <v>21838.690808797495</v>
      </c>
    </row>
    <row r="87" spans="1:8">
      <c r="A87" s="49" t="str">
        <f>HLOOKUP(INDICE!$F$2,Nombres!$C$3:$E$853,109)</f>
        <v>Deposits from central banks and credit institutions</v>
      </c>
      <c r="B87" s="149">
        <v>3859.8316522923001</v>
      </c>
      <c r="C87" s="84">
        <v>3604.8199410770999</v>
      </c>
      <c r="D87" s="84">
        <v>3921.0220121275001</v>
      </c>
      <c r="E87" s="150">
        <v>3653.6300609617001</v>
      </c>
      <c r="F87" s="158">
        <v>3608.2941514008999</v>
      </c>
      <c r="G87" s="84">
        <v>3737.7979902982001</v>
      </c>
      <c r="H87" s="84">
        <v>3972.0280000000002</v>
      </c>
    </row>
    <row r="88" spans="1:8">
      <c r="A88" s="49" t="str">
        <f>HLOOKUP(INDICE!$F$2,Nombres!$C$3:$E$853,110)</f>
        <v>Deposits from customers</v>
      </c>
      <c r="B88" s="149">
        <v>8874.4201699418009</v>
      </c>
      <c r="C88" s="84">
        <v>8847.3550047827994</v>
      </c>
      <c r="D88" s="84">
        <v>9090.9680132123995</v>
      </c>
      <c r="E88" s="150">
        <v>9711.1876247029995</v>
      </c>
      <c r="F88" s="158">
        <v>10377.7276636773</v>
      </c>
      <c r="G88" s="84">
        <v>10618.123778266699</v>
      </c>
      <c r="H88" s="84">
        <v>11597.101750000002</v>
      </c>
    </row>
    <row r="89" spans="1:8">
      <c r="A89" s="49" t="str">
        <f>HLOOKUP(INDICE!$F$2,Nombres!$C$3:$E$853,111)</f>
        <v>Debt certificates</v>
      </c>
      <c r="B89" s="149">
        <v>823.63521582340002</v>
      </c>
      <c r="C89" s="84">
        <v>973.2484072167</v>
      </c>
      <c r="D89" s="84">
        <v>1096.0066821621999</v>
      </c>
      <c r="E89" s="150">
        <v>1083.6817734058</v>
      </c>
      <c r="F89" s="158">
        <v>1083.7370169264</v>
      </c>
      <c r="G89" s="84">
        <v>1111.1975309894001</v>
      </c>
      <c r="H89" s="84">
        <v>1957.6087500000003</v>
      </c>
    </row>
    <row r="90" spans="1:8">
      <c r="A90" s="49" t="str">
        <f>HLOOKUP(INDICE!$F$2,Nombres!$C$3:$E$853,112)</f>
        <v>Subordinated liabilities</v>
      </c>
      <c r="B90" s="149">
        <v>20.403126266400001</v>
      </c>
      <c r="C90" s="84">
        <v>20.222639979499998</v>
      </c>
      <c r="D90" s="84">
        <v>19.654539266</v>
      </c>
      <c r="E90" s="150">
        <v>19.5081731203</v>
      </c>
      <c r="F90" s="158">
        <v>19.027792809699999</v>
      </c>
      <c r="G90" s="84">
        <v>20.2098722952</v>
      </c>
      <c r="H90" s="84">
        <v>12.804249999999996</v>
      </c>
    </row>
    <row r="91" spans="1:8">
      <c r="A91" s="49" t="str">
        <f>HLOOKUP(INDICE!$F$2,Nombres!$C$3:$E$853,114)</f>
        <v xml:space="preserve">Financial liabilities held for trading </v>
      </c>
      <c r="B91" s="149">
        <v>144.96852116220001</v>
      </c>
      <c r="C91" s="84">
        <v>102.4965798834</v>
      </c>
      <c r="D91" s="84">
        <v>142.41009909749999</v>
      </c>
      <c r="E91" s="150">
        <v>160.1701705545</v>
      </c>
      <c r="F91" s="158">
        <v>309.41985701589999</v>
      </c>
      <c r="G91" s="84">
        <v>213.6318234089</v>
      </c>
      <c r="H91" s="84">
        <v>276.33050000000003</v>
      </c>
    </row>
    <row r="92" spans="1:8">
      <c r="A92" s="49" t="str">
        <f>HLOOKUP(INDICE!$F$2,Nombres!$C$3:$E$853,115)</f>
        <v>Other liabilities</v>
      </c>
      <c r="B92" s="149">
        <v>2603.7746500508024</v>
      </c>
      <c r="C92" s="84">
        <v>3031.5762105583026</v>
      </c>
      <c r="D92" s="84">
        <v>3128.354543226505</v>
      </c>
      <c r="E92" s="150">
        <v>3269.103576394099</v>
      </c>
      <c r="F92" s="158">
        <v>3419.4443031685005</v>
      </c>
      <c r="G92" s="84">
        <v>3291.8094682716996</v>
      </c>
      <c r="H92" s="84">
        <v>3055.8713229600016</v>
      </c>
    </row>
    <row r="93" spans="1:8" ht="12" customHeight="1">
      <c r="A93" s="49" t="str">
        <f>HLOOKUP(INDICE!$F$2,Nombres!$C$3:$E$853,116)</f>
        <v>Economic capital allocated</v>
      </c>
      <c r="B93" s="149">
        <v>690.67824773409995</v>
      </c>
      <c r="C93" s="84">
        <v>701.20925819989998</v>
      </c>
      <c r="D93" s="84">
        <v>730.67826959809997</v>
      </c>
      <c r="E93" s="150">
        <v>766.63738237760003</v>
      </c>
      <c r="F93" s="158">
        <v>782.35448606030002</v>
      </c>
      <c r="G93" s="84">
        <v>885.46370315549996</v>
      </c>
      <c r="H93" s="84">
        <v>966.94623583750013</v>
      </c>
    </row>
    <row r="94" spans="1:8" ht="39.75" customHeight="1">
      <c r="A94" s="251" t="str">
        <f>HLOOKUP(INDICE!$F$2,Nombres!$C$3:$E$853,311)</f>
        <v>(*) Garanti's financial statements integrated in the proportion corresponding to the percentage of the Group's stake (25.01%) until the second quarter of 2015.</v>
      </c>
      <c r="B94" s="251"/>
      <c r="C94" s="251"/>
      <c r="D94" s="251"/>
      <c r="E94" s="251"/>
      <c r="F94" s="251"/>
      <c r="G94" s="251"/>
      <c r="H94" s="251"/>
    </row>
    <row r="95" spans="1:8" ht="12" customHeight="1">
      <c r="A95" s="144" t="str">
        <f>HLOOKUP(INDICE!$F$2,Nombres!$C$3:$E$853,117)</f>
        <v>Relevant business indicators</v>
      </c>
      <c r="G95" s="74"/>
      <c r="H95" s="74"/>
    </row>
    <row r="96" spans="1:8" ht="18">
      <c r="A96" s="144" t="str">
        <f>HLOOKUP(INDICE!$F$2,Nombres!$C$3:$E$853,201)</f>
        <v>Annex:</v>
      </c>
      <c r="G96" s="74"/>
      <c r="H96" s="74"/>
    </row>
    <row r="97" spans="1:8" ht="12" customHeight="1">
      <c r="A97" s="41" t="str">
        <f>HLOOKUP(INDICE!$F$2,Nombres!$C$3:$E$853,31)</f>
        <v xml:space="preserve">(Constant million euros)    </v>
      </c>
      <c r="G97" s="74"/>
      <c r="H97" s="74"/>
    </row>
    <row r="98" spans="1:8" ht="11.25" customHeight="1">
      <c r="A98" s="153"/>
      <c r="B98" s="81">
        <v>41729</v>
      </c>
      <c r="C98" s="82">
        <v>41820</v>
      </c>
      <c r="D98" s="82">
        <v>41912</v>
      </c>
      <c r="E98" s="82">
        <v>42004</v>
      </c>
      <c r="F98" s="81">
        <v>42094</v>
      </c>
      <c r="G98" s="82">
        <v>42185</v>
      </c>
      <c r="H98" s="82">
        <v>42277</v>
      </c>
    </row>
    <row r="99" spans="1:8">
      <c r="A99" s="49" t="str">
        <f>HLOOKUP(INDICE!$F$2,Nombres!$C$3:$E$853,314)</f>
        <v>Loans and advances to customers gross (**)</v>
      </c>
      <c r="B99" s="149">
        <v>10312.9561800968</v>
      </c>
      <c r="C99" s="157">
        <v>10484.972718320199</v>
      </c>
      <c r="D99" s="157">
        <v>11134.735355598599</v>
      </c>
      <c r="E99" s="193">
        <v>11389.3232112476</v>
      </c>
      <c r="F99" s="149">
        <v>12231.6496929391</v>
      </c>
      <c r="G99" s="157">
        <v>12682.9569331359</v>
      </c>
      <c r="H99" s="157">
        <v>13580.744749999998</v>
      </c>
    </row>
    <row r="100" spans="1:8">
      <c r="A100" s="49" t="str">
        <f>HLOOKUP(INDICE!$F$2,Nombres!$C$3:$E$853,315)</f>
        <v>Customer deposits under management (***)</v>
      </c>
      <c r="B100" s="149">
        <v>7930.9424117177996</v>
      </c>
      <c r="C100" s="157">
        <v>7581.9700119401004</v>
      </c>
      <c r="D100" s="157">
        <v>7956.0461396374003</v>
      </c>
      <c r="E100" s="193">
        <v>8362.8155717353002</v>
      </c>
      <c r="F100" s="149">
        <v>9200.3079128509999</v>
      </c>
      <c r="G100" s="157">
        <v>9687.1143495560991</v>
      </c>
      <c r="H100" s="157">
        <v>10432.844962479998</v>
      </c>
    </row>
    <row r="101" spans="1:8">
      <c r="A101" s="49" t="str">
        <f>HLOOKUP(INDICE!$F$2,Nombres!$C$3:$E$853,122)</f>
        <v>Mutual funds</v>
      </c>
      <c r="B101" s="149">
        <v>306.75368155180001</v>
      </c>
      <c r="C101" s="157">
        <v>319.184811835</v>
      </c>
      <c r="D101" s="157">
        <v>288.99150362609998</v>
      </c>
      <c r="E101" s="193">
        <v>287.15205532319999</v>
      </c>
      <c r="F101" s="149">
        <v>302.96275411840003</v>
      </c>
      <c r="G101" s="157">
        <v>311.30624664829998</v>
      </c>
      <c r="H101" s="157">
        <v>307.89800000000002</v>
      </c>
    </row>
    <row r="102" spans="1:8">
      <c r="A102" s="49" t="str">
        <f>HLOOKUP(INDICE!$F$2,Nombres!$C$3:$E$853,206)</f>
        <v>Pension funds</v>
      </c>
      <c r="B102" s="158">
        <v>337.17094525509998</v>
      </c>
      <c r="C102" s="84">
        <v>379.66047698850002</v>
      </c>
      <c r="D102" s="84">
        <v>399.11175996899999</v>
      </c>
      <c r="E102" s="150">
        <v>449.337029062</v>
      </c>
      <c r="F102" s="158">
        <v>474.82192481150003</v>
      </c>
      <c r="G102" s="84">
        <v>497.62492461419998</v>
      </c>
      <c r="H102" s="84">
        <v>513.08624999999984</v>
      </c>
    </row>
    <row r="103" spans="1:8">
      <c r="A103" s="49" t="str">
        <f>HLOOKUP(INDICE!$F$2,Nombres!$C$3:$E$853,308)</f>
        <v>Other off balance-sheet funds</v>
      </c>
      <c r="B103" s="235">
        <v>0</v>
      </c>
      <c r="C103" s="236">
        <v>0</v>
      </c>
      <c r="D103" s="236">
        <v>0</v>
      </c>
      <c r="E103" s="237">
        <v>0</v>
      </c>
      <c r="F103" s="235">
        <v>0</v>
      </c>
      <c r="G103" s="236">
        <v>0</v>
      </c>
      <c r="H103" s="236">
        <v>0</v>
      </c>
    </row>
    <row r="104" spans="1:8">
      <c r="A104" s="156" t="str">
        <f>HLOOKUP(INDICE!$F$2,Nombres!$C$3:$E$853,312)</f>
        <v xml:space="preserve">(**) Excluding repos. </v>
      </c>
      <c r="B104" s="72"/>
      <c r="C104" s="73"/>
      <c r="D104" s="73"/>
      <c r="E104" s="73"/>
      <c r="F104" s="73"/>
    </row>
    <row r="105" spans="1:8">
      <c r="A105" s="156" t="str">
        <f>HLOOKUP(INDICE!$F$2,Nombres!$C$3:$E$853,313)</f>
        <v xml:space="preserve">(***) Excluding repos. </v>
      </c>
      <c r="B105" s="72"/>
      <c r="C105" s="73"/>
      <c r="D105" s="73"/>
      <c r="E105" s="73"/>
      <c r="F105" s="73"/>
    </row>
  </sheetData>
  <mergeCells count="8">
    <mergeCell ref="A94:H94"/>
    <mergeCell ref="A42:H42"/>
    <mergeCell ref="A75:H75"/>
    <mergeCell ref="B4:E4"/>
    <mergeCell ref="F4:H4"/>
    <mergeCell ref="B55:E55"/>
    <mergeCell ref="F55:H55"/>
    <mergeCell ref="A24:H24"/>
  </mergeCells>
  <pageMargins left="0.7" right="0.7" top="0.75" bottom="0.75" header="0.3" footer="0.3"/>
  <pageSetup paperSize="9" scale="4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Cuenta de resultados</vt:lpstr>
      <vt:lpstr>Balances consolidados</vt:lpstr>
      <vt:lpstr>Actividad bancaria en España</vt:lpstr>
      <vt:lpstr>Actividad inm. en España</vt:lpstr>
      <vt:lpstr>Riesgo promoción inmobiliaria</vt:lpstr>
      <vt:lpstr>Estados Unidos</vt:lpstr>
      <vt:lpstr>Turquía</vt:lpstr>
      <vt:lpstr>Turquía en continuidad</vt:lpstr>
      <vt:lpstr>México</vt:lpstr>
      <vt:lpstr>América del sur</vt:lpstr>
      <vt:lpstr>Argentina</vt:lpstr>
      <vt:lpstr>Chile</vt:lpstr>
      <vt:lpstr>Colombia</vt:lpstr>
      <vt:lpstr>Perú</vt:lpstr>
      <vt:lpstr>Venezuela</vt:lpstr>
      <vt:lpstr>AdS_sinVenezuela</vt:lpstr>
      <vt:lpstr>Resto de Eurasia</vt:lpstr>
      <vt:lpstr>Centro Corporativo</vt:lpstr>
      <vt:lpstr>Grupo BBVA sin V y Turq cont</vt:lpstr>
      <vt:lpstr>Corporate &amp; Investment Banking</vt:lpstr>
      <vt:lpstr>Eficiencia</vt:lpstr>
      <vt:lpstr>Mora,cobertura,prima de riesgo</vt:lpstr>
      <vt:lpstr>Empleados,oficinas y cajeros</vt:lpstr>
      <vt:lpstr>Tipos de cambio</vt:lpstr>
      <vt:lpstr>Rendimientos y costes</vt:lpstr>
      <vt:lpstr>Nombres</vt:lpstr>
      <vt:lpstr>'Actividad bancaria en España'!Área_de_impresión</vt:lpstr>
      <vt:lpstr>'Actividad inm. en España'!Área_de_impresión</vt:lpstr>
      <vt:lpstr>AdS_sinVenezuela!Área_de_impresión</vt:lpstr>
      <vt:lpstr>'América del sur'!Área_de_impresión</vt:lpstr>
      <vt:lpstr>Argentina!Área_de_impresión</vt:lpstr>
      <vt:lpstr>'Balances consolidados'!Área_de_impresión</vt:lpstr>
      <vt:lpstr>'Centro Corporativo'!Área_de_impresión</vt:lpstr>
      <vt:lpstr>Chile!Área_de_impresión</vt:lpstr>
      <vt:lpstr>Colombia!Área_de_impresión</vt:lpstr>
      <vt:lpstr>'Corporate &amp; Investment Banking'!Área_de_impresión</vt:lpstr>
      <vt:lpstr>'Cuenta de resultados'!Área_de_impresión</vt:lpstr>
      <vt:lpstr>Eficiencia!Área_de_impresión</vt:lpstr>
      <vt:lpstr>'Empleados,oficinas y cajeros'!Área_de_impresión</vt:lpstr>
      <vt:lpstr>'Estados Unidos'!Área_de_impresión</vt:lpstr>
      <vt:lpstr>'Grupo BBVA sin V y Turq cont'!Área_de_impresión</vt:lpstr>
      <vt:lpstr>INDICE!Área_de_impresión</vt:lpstr>
      <vt:lpstr>México!Área_de_impresión</vt:lpstr>
      <vt:lpstr>'Mora,cobertura,prima de riesgo'!Área_de_impresión</vt:lpstr>
      <vt:lpstr>Perú!Área_de_impresión</vt:lpstr>
      <vt:lpstr>'Rendimientos y costes'!Área_de_impresión</vt:lpstr>
      <vt:lpstr>'Resto de Eurasia'!Área_de_impresión</vt:lpstr>
      <vt:lpstr>'Riesgo promoción inmobiliaria'!Área_de_impresión</vt:lpstr>
      <vt:lpstr>'Tipos de cambio'!Área_de_impresión</vt:lpstr>
      <vt:lpstr>Turquía!Área_de_impresión</vt:lpstr>
      <vt:lpstr>'Turquía en continuidad'!Área_de_impresión</vt:lpstr>
      <vt:lpstr>Venezuela!Área_de_impresión</vt:lpstr>
    </vt:vector>
  </TitlesOfParts>
  <Company>BBVA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CELIS GARCIA, CAMINO</dc:creator>
  <cp:lastModifiedBy>RODRIGUEZ SANGUINO, SHEILA</cp:lastModifiedBy>
  <dcterms:created xsi:type="dcterms:W3CDTF">2015-10-27T16:07:59Z</dcterms:created>
  <dcterms:modified xsi:type="dcterms:W3CDTF">2015-11-04T08:49:50Z</dcterms:modified>
</cp:coreProperties>
</file>