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08G005\COMUNICACION FINANCIERA\Comunicación Digital y WEB\Web\Resultados\2018\3T18\Series 3T18\"/>
    </mc:Choice>
  </mc:AlternateContent>
  <bookViews>
    <workbookView xWindow="0" yWindow="0" windowWidth="14370" windowHeight="7530"/>
  </bookViews>
  <sheets>
    <sheet name="INDICE" sheetId="4" r:id="rId1"/>
    <sheet name="Cuenta de resultados" sheetId="30" r:id="rId2"/>
    <sheet name="Balances consolidados" sheetId="29" r:id="rId3"/>
    <sheet name="Actividad bancaria en España" sheetId="28" r:id="rId4"/>
    <sheet name="Non core real estate" sheetId="27" r:id="rId5"/>
    <sheet name="Exposición inmobiliaria" sheetId="26" r:id="rId6"/>
    <sheet name="Estados Unidos" sheetId="25" r:id="rId7"/>
    <sheet name="México" sheetId="23" r:id="rId8"/>
    <sheet name="Turquía" sheetId="24" r:id="rId9"/>
    <sheet name="América del sur" sheetId="22" r:id="rId10"/>
    <sheet name="Argentina" sheetId="21" r:id="rId11"/>
    <sheet name="Chile" sheetId="20" r:id="rId12"/>
    <sheet name="Colombia" sheetId="19" r:id="rId13"/>
    <sheet name="Perú" sheetId="18" r:id="rId14"/>
    <sheet name="Resto de Eurasia" sheetId="16" r:id="rId15"/>
    <sheet name="Centro Corporativo" sheetId="15" r:id="rId16"/>
    <sheet name="Corporate &amp; Investment Banking" sheetId="14" r:id="rId17"/>
    <sheet name="Eficiencia" sheetId="13" r:id="rId18"/>
    <sheet name="Mora,cobertura,coste de riesgo" sheetId="12" r:id="rId19"/>
    <sheet name="Empleados,oficinas y cajeros" sheetId="11" r:id="rId20"/>
    <sheet name="Tipos de cambio" sheetId="10" r:id="rId21"/>
    <sheet name="Diferenciales de la clientela" sheetId="9" r:id="rId22"/>
    <sheet name="APR" sheetId="8" r:id="rId23"/>
    <sheet name="Inversion" sheetId="7" r:id="rId24"/>
    <sheet name="Recursos" sheetId="6" r:id="rId25"/>
    <sheet name="Nombres" sheetId="5"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s>
  <definedNames>
    <definedName name="\0">#REF!</definedName>
    <definedName name="\A">#REF!</definedName>
    <definedName name="\D">#REF!</definedName>
    <definedName name="\I">#REF!</definedName>
    <definedName name="\L">#REF!</definedName>
    <definedName name="\P">#REF!</definedName>
    <definedName name="\W">#REF!</definedName>
    <definedName name="_________act1">[1]Statics!$J$156</definedName>
    <definedName name="_________act2">[1]Statics!$J$172</definedName>
    <definedName name="_________act3">[1]Statics!$J$192</definedName>
    <definedName name="_________act4">[1]Statics!$J$208</definedName>
    <definedName name="_________act5">[1]Statics!$J$225</definedName>
    <definedName name="_________act6">[1]Statics!$J$242</definedName>
    <definedName name="_________act7">[1]Statics!$J$259</definedName>
    <definedName name="_________CML3">#REF!</definedName>
    <definedName name="_________CML4">#REF!</definedName>
    <definedName name="_________FC">!$A$6</definedName>
    <definedName name="_________fce1">[1]Statics!$I$155</definedName>
    <definedName name="_________fce2">[1]Statics!$I$171</definedName>
    <definedName name="_________fce3">[1]Statics!$I$191</definedName>
    <definedName name="_________fce4">[1]Statics!$I$207</definedName>
    <definedName name="_________fce5">[1]Statics!$I$224</definedName>
    <definedName name="_________fce6">[1]Statics!$I$241</definedName>
    <definedName name="_________fce7">[1]Statics!$I$258</definedName>
    <definedName name="_________fyr1">[2]Statics!$D$67</definedName>
    <definedName name="_________fyr2">[1]Statics!$D$20</definedName>
    <definedName name="_________LLR1">[1]Statics!$K$156</definedName>
    <definedName name="_________LLR2">[1]Statics!$K$172</definedName>
    <definedName name="_________LLR3">[1]Statics!$K$192</definedName>
    <definedName name="_________LLR4">[1]Statics!$K$208</definedName>
    <definedName name="_________LLR5">[1]Statics!$K$225</definedName>
    <definedName name="_________py2">[1]Statics!$D$13</definedName>
    <definedName name="_________py3">[1]Statics!$D$14</definedName>
    <definedName name="_________py4">[1]Statics!$D$15</definedName>
    <definedName name="_________sba2">#REF!</definedName>
    <definedName name="_________sba3">#REF!</definedName>
    <definedName name="________act1">[1]Statics!$J$156</definedName>
    <definedName name="________act2">[1]Statics!$J$172</definedName>
    <definedName name="________act3">[1]Statics!$J$192</definedName>
    <definedName name="________act4">[1]Statics!$J$208</definedName>
    <definedName name="________act5">[1]Statics!$J$225</definedName>
    <definedName name="________act6">[1]Statics!$J$242</definedName>
    <definedName name="________act7">[1]Statics!$J$259</definedName>
    <definedName name="________CML3">#REF!</definedName>
    <definedName name="________CML4">#REF!</definedName>
    <definedName name="________FC">!$A$6</definedName>
    <definedName name="________fce1">[1]Statics!$I$155</definedName>
    <definedName name="________fce2">[1]Statics!$I$171</definedName>
    <definedName name="________fce3">[1]Statics!$I$191</definedName>
    <definedName name="________fce4">[1]Statics!$I$207</definedName>
    <definedName name="________fce5">[1]Statics!$I$224</definedName>
    <definedName name="________fce6">[1]Statics!$I$241</definedName>
    <definedName name="________fce7">[1]Statics!$I$258</definedName>
    <definedName name="________fyr1">[2]Statics!$D$67</definedName>
    <definedName name="________fyr2">[1]Statics!$D$20</definedName>
    <definedName name="________LLR1">[1]Statics!$K$156</definedName>
    <definedName name="________LLR2">[1]Statics!$K$172</definedName>
    <definedName name="________LLR3">[1]Statics!$K$192</definedName>
    <definedName name="________LLR4">[1]Statics!$K$208</definedName>
    <definedName name="________LLR5">[1]Statics!$K$225</definedName>
    <definedName name="________py2">[1]Statics!$D$13</definedName>
    <definedName name="________py3">[1]Statics!$D$14</definedName>
    <definedName name="________py4">[1]Statics!$D$15</definedName>
    <definedName name="________sba2">#REF!</definedName>
    <definedName name="________sba3">#REF!</definedName>
    <definedName name="_______act1">[1]Statics!$J$156</definedName>
    <definedName name="_______act2">[1]Statics!$J$172</definedName>
    <definedName name="_______act3">[1]Statics!$J$192</definedName>
    <definedName name="_______act4">[1]Statics!$J$208</definedName>
    <definedName name="_______act5">[1]Statics!$J$225</definedName>
    <definedName name="_______act6">[1]Statics!$J$242</definedName>
    <definedName name="_______act7">[1]Statics!$J$259</definedName>
    <definedName name="_______CML3">#REF!</definedName>
    <definedName name="_______CML4">#REF!</definedName>
    <definedName name="_______FC">!$A$6</definedName>
    <definedName name="_______fce1">[1]Statics!$I$155</definedName>
    <definedName name="_______fce2">[1]Statics!$I$171</definedName>
    <definedName name="_______fce3">[1]Statics!$I$191</definedName>
    <definedName name="_______fce4">[1]Statics!$I$207</definedName>
    <definedName name="_______fce5">[1]Statics!$I$224</definedName>
    <definedName name="_______fce6">[1]Statics!$I$241</definedName>
    <definedName name="_______fce7">[1]Statics!$I$258</definedName>
    <definedName name="_______fyr1">[2]Statics!$D$67</definedName>
    <definedName name="_______fyr2">[1]Statics!$D$20</definedName>
    <definedName name="_______LLR1">[1]Statics!$K$156</definedName>
    <definedName name="_______LLR2">[1]Statics!$K$172</definedName>
    <definedName name="_______LLR3">[1]Statics!$K$192</definedName>
    <definedName name="_______LLR4">[1]Statics!$K$208</definedName>
    <definedName name="_______LLR5">[1]Statics!$K$225</definedName>
    <definedName name="_______py2">[1]Statics!$D$13</definedName>
    <definedName name="_______py3">[1]Statics!$D$14</definedName>
    <definedName name="_______py4">[1]Statics!$D$15</definedName>
    <definedName name="_______sba2">#REF!</definedName>
    <definedName name="_______sba3">#REF!</definedName>
    <definedName name="______act1">[1]Statics!$J$156</definedName>
    <definedName name="______act2">[1]Statics!$J$172</definedName>
    <definedName name="______act3">[1]Statics!$J$192</definedName>
    <definedName name="______act4">[1]Statics!$J$208</definedName>
    <definedName name="______act5">[1]Statics!$J$225</definedName>
    <definedName name="______act6">[1]Statics!$J$242</definedName>
    <definedName name="______act7">[1]Statics!$J$259</definedName>
    <definedName name="______CML3">#REF!</definedName>
    <definedName name="______CML4">#REF!</definedName>
    <definedName name="______FC">!$A$6</definedName>
    <definedName name="______fce1">[1]Statics!$I$155</definedName>
    <definedName name="______fce2">[1]Statics!$I$171</definedName>
    <definedName name="______fce3">[1]Statics!$I$191</definedName>
    <definedName name="______fce4">[1]Statics!$I$207</definedName>
    <definedName name="______fce5">[1]Statics!$I$224</definedName>
    <definedName name="______fce6">[1]Statics!$I$241</definedName>
    <definedName name="______fce7">[1]Statics!$I$258</definedName>
    <definedName name="______fyr1">[2]Statics!$D$67</definedName>
    <definedName name="______fyr2">[1]Statics!$D$20</definedName>
    <definedName name="______LLR1">[1]Statics!$K$156</definedName>
    <definedName name="______LLR2">[1]Statics!$K$172</definedName>
    <definedName name="______LLR3">[1]Statics!$K$192</definedName>
    <definedName name="______LLR4">[1]Statics!$K$208</definedName>
    <definedName name="______LLR5">[1]Statics!$K$225</definedName>
    <definedName name="______py2">[1]Statics!$D$13</definedName>
    <definedName name="______py3">[1]Statics!$D$14</definedName>
    <definedName name="______py4">[1]Statics!$D$15</definedName>
    <definedName name="______sba2">#REF!</definedName>
    <definedName name="______sba3">#REF!</definedName>
    <definedName name="_____act1">[1]Statics!$J$156</definedName>
    <definedName name="_____act2">[1]Statics!$J$172</definedName>
    <definedName name="_____act3">[1]Statics!$J$192</definedName>
    <definedName name="_____act4">[1]Statics!$J$208</definedName>
    <definedName name="_____act5">[1]Statics!$J$225</definedName>
    <definedName name="_____act6">[1]Statics!$J$242</definedName>
    <definedName name="_____act7">[1]Statics!$J$259</definedName>
    <definedName name="_____CML3">#REF!</definedName>
    <definedName name="_____CML4">#REF!</definedName>
    <definedName name="_____FC">!$A$6</definedName>
    <definedName name="_____fce1">[1]Statics!$I$155</definedName>
    <definedName name="_____fce2">[1]Statics!$I$171</definedName>
    <definedName name="_____fce3">[1]Statics!$I$191</definedName>
    <definedName name="_____fce4">[1]Statics!$I$207</definedName>
    <definedName name="_____fce5">[1]Statics!$I$224</definedName>
    <definedName name="_____fce6">[1]Statics!$I$241</definedName>
    <definedName name="_____fce7">[1]Statics!$I$258</definedName>
    <definedName name="_____fyr1">[2]Statics!$D$67</definedName>
    <definedName name="_____fyr2">[1]Statics!$D$20</definedName>
    <definedName name="_____LLR1">[1]Statics!$K$156</definedName>
    <definedName name="_____LLR2">[1]Statics!$K$172</definedName>
    <definedName name="_____LLR3">[1]Statics!$K$192</definedName>
    <definedName name="_____LLR4">[1]Statics!$K$208</definedName>
    <definedName name="_____LLR5">[1]Statics!$K$225</definedName>
    <definedName name="_____py2">[1]Statics!$D$13</definedName>
    <definedName name="_____py3">[1]Statics!$D$14</definedName>
    <definedName name="_____py4">[1]Statics!$D$15</definedName>
    <definedName name="_____sba2">#REF!</definedName>
    <definedName name="_____sba3">#REF!</definedName>
    <definedName name="____act1">[1]Statics!$J$156</definedName>
    <definedName name="____act2">[1]Statics!$J$172</definedName>
    <definedName name="____act3">[1]Statics!$J$192</definedName>
    <definedName name="____act4">[1]Statics!$J$208</definedName>
    <definedName name="____act5">[1]Statics!$J$225</definedName>
    <definedName name="____act6">[1]Statics!$J$242</definedName>
    <definedName name="____act7">[1]Statics!$J$259</definedName>
    <definedName name="____CML3">#REF!</definedName>
    <definedName name="____CML4">#REF!</definedName>
    <definedName name="____FC">!$A$6</definedName>
    <definedName name="____fce1">[1]Statics!$I$155</definedName>
    <definedName name="____fce2">[1]Statics!$I$171</definedName>
    <definedName name="____fce3">[1]Statics!$I$191</definedName>
    <definedName name="____fce4">[1]Statics!$I$207</definedName>
    <definedName name="____fce5">[1]Statics!$I$224</definedName>
    <definedName name="____fce6">[1]Statics!$I$241</definedName>
    <definedName name="____fce7">[1]Statics!$I$258</definedName>
    <definedName name="____fyr1">[2]Statics!$D$67</definedName>
    <definedName name="____fyr2">[1]Statics!$D$20</definedName>
    <definedName name="____LLR1">[1]Statics!$K$156</definedName>
    <definedName name="____LLR2">[1]Statics!$K$172</definedName>
    <definedName name="____LLR3">[1]Statics!$K$192</definedName>
    <definedName name="____LLR4">[1]Statics!$K$208</definedName>
    <definedName name="____LLR5">[1]Statics!$K$225</definedName>
    <definedName name="____py2">[1]Statics!$D$13</definedName>
    <definedName name="____py3">[1]Statics!$D$14</definedName>
    <definedName name="____py4">[1]Statics!$D$15</definedName>
    <definedName name="____sba2">#REF!</definedName>
    <definedName name="____sba3">#REF!</definedName>
    <definedName name="___act1">[1]Statics!$J$156</definedName>
    <definedName name="___act2">[1]Statics!$J$172</definedName>
    <definedName name="___act3">[1]Statics!$J$192</definedName>
    <definedName name="___act4">[1]Statics!$J$208</definedName>
    <definedName name="___act5">[1]Statics!$J$225</definedName>
    <definedName name="___act6">[1]Statics!$J$242</definedName>
    <definedName name="___act7">[1]Statics!$J$259</definedName>
    <definedName name="___CML3">#REF!</definedName>
    <definedName name="___CML4">#REF!</definedName>
    <definedName name="___FC">!$A$6</definedName>
    <definedName name="___fce1">[1]Statics!$I$155</definedName>
    <definedName name="___fce2">[1]Statics!$I$171</definedName>
    <definedName name="___fce3">[1]Statics!$I$191</definedName>
    <definedName name="___fce4">[1]Statics!$I$207</definedName>
    <definedName name="___fce5">[1]Statics!$I$224</definedName>
    <definedName name="___fce6">[1]Statics!$I$241</definedName>
    <definedName name="___fce7">[1]Statics!$I$258</definedName>
    <definedName name="___fyr1">[2]Statics!$D$67</definedName>
    <definedName name="___fyr2">[1]Statics!$D$20</definedName>
    <definedName name="___LLR1">[1]Statics!$K$156</definedName>
    <definedName name="___LLR2">[1]Statics!$K$172</definedName>
    <definedName name="___LLR3">[1]Statics!$K$192</definedName>
    <definedName name="___LLR4">[1]Statics!$K$208</definedName>
    <definedName name="___LLR5">[1]Statics!$K$225</definedName>
    <definedName name="___py2">[1]Statics!$D$13</definedName>
    <definedName name="___py3">[1]Statics!$D$14</definedName>
    <definedName name="___py4">[1]Statics!$D$15</definedName>
    <definedName name="___sba2">#REF!</definedName>
    <definedName name="___sba3">#REF!</definedName>
    <definedName name="__act1">[1]Statics!$J$156</definedName>
    <definedName name="__act2">[1]Statics!$J$172</definedName>
    <definedName name="__act3">[1]Statics!$J$192</definedName>
    <definedName name="__act4">[1]Statics!$J$208</definedName>
    <definedName name="__act5">[1]Statics!$J$225</definedName>
    <definedName name="__act6">[1]Statics!$J$242</definedName>
    <definedName name="__act7">[1]Statics!$J$259</definedName>
    <definedName name="__CML3">#REF!</definedName>
    <definedName name="__CML4">#REF!</definedName>
    <definedName name="__FC">!$A$6</definedName>
    <definedName name="__fce1">[1]Statics!$I$155</definedName>
    <definedName name="__fce2">[1]Statics!$I$171</definedName>
    <definedName name="__fce3">[1]Statics!$I$191</definedName>
    <definedName name="__fce4">[1]Statics!$I$207</definedName>
    <definedName name="__fce5">[1]Statics!$I$224</definedName>
    <definedName name="__fce6">[1]Statics!$I$241</definedName>
    <definedName name="__fce7">[1]Statics!$I$258</definedName>
    <definedName name="__fyr1">[2]Statics!$D$67</definedName>
    <definedName name="__fyr2">[1]Statics!$D$20</definedName>
    <definedName name="__LLR1">[1]Statics!$K$156</definedName>
    <definedName name="__LLR2">[1]Statics!$K$172</definedName>
    <definedName name="__LLR3">[1]Statics!$K$192</definedName>
    <definedName name="__LLR4">[1]Statics!$K$208</definedName>
    <definedName name="__LLR5">[1]Statics!$K$225</definedName>
    <definedName name="__py2">[1]Statics!$D$13</definedName>
    <definedName name="__py3">[1]Statics!$D$14</definedName>
    <definedName name="__py4">[1]Statics!$D$15</definedName>
    <definedName name="__sba2">#REF!</definedName>
    <definedName name="__sba3">#REF!</definedName>
    <definedName name="_act1">[1]Statics!$J$156</definedName>
    <definedName name="_act2">[1]Statics!$J$172</definedName>
    <definedName name="_act3">[1]Statics!$J$192</definedName>
    <definedName name="_act4">[1]Statics!$J$208</definedName>
    <definedName name="_act5">[1]Statics!$J$225</definedName>
    <definedName name="_act6">[1]Statics!$J$242</definedName>
    <definedName name="_act7">[1]Statics!$J$259</definedName>
    <definedName name="_CML3">#REF!</definedName>
    <definedName name="_CML4">#REF!</definedName>
    <definedName name="_FC">!$A$6</definedName>
    <definedName name="_fce1">[1]Statics!$I$155</definedName>
    <definedName name="_fce2">[1]Statics!$I$171</definedName>
    <definedName name="_fce3">[1]Statics!$I$191</definedName>
    <definedName name="_fce4">[1]Statics!$I$207</definedName>
    <definedName name="_fce5">[1]Statics!$I$224</definedName>
    <definedName name="_fce6">[1]Statics!$I$241</definedName>
    <definedName name="_fce7">[1]Statics!$I$258</definedName>
    <definedName name="_Fill" hidden="1">#REF!</definedName>
    <definedName name="_fyr1">[2]Statics!$D$67</definedName>
    <definedName name="_fyr2">[1]Statics!$D$20</definedName>
    <definedName name="_LLR1">[1]Statics!$K$156</definedName>
    <definedName name="_LLR2">[1]Statics!$K$172</definedName>
    <definedName name="_LLR3">[1]Statics!$K$192</definedName>
    <definedName name="_LLR4">[1]Statics!$K$208</definedName>
    <definedName name="_LLR5">[1]Statics!$K$225</definedName>
    <definedName name="_py2">[1]Statics!$D$13</definedName>
    <definedName name="_py3">[1]Statics!$D$14</definedName>
    <definedName name="_py4">[1]Statics!$D$15</definedName>
    <definedName name="_sba2">#REF!</definedName>
    <definedName name="_sba3">#REF!</definedName>
    <definedName name="_summary_laurie_wants">#REF!</definedName>
    <definedName name="a">'[3]Dades Reuters'!$A$3:$G$103</definedName>
    <definedName name="A_impresión_IM" localSheetId="0">#REF!</definedName>
    <definedName name="A_impresión_IM" localSheetId="25">#REF!</definedName>
    <definedName name="A_impresión_IM">#REF!</definedName>
    <definedName name="aa">[4]Data!$A$1:$H$607</definedName>
    <definedName name="aaa">[5]Input!$E$10</definedName>
    <definedName name="abbrev">#REF!</definedName>
    <definedName name="actbud">[6]Statics!$C$125</definedName>
    <definedName name="Administration">#REF!</definedName>
    <definedName name="allf">!$A$265:$Q$299</definedName>
    <definedName name="allfc">!$A$6:$Q$41</definedName>
    <definedName name="allfg">!$A$43:$Q$79</definedName>
    <definedName name="allfi">!$A$80:$Q$116</definedName>
    <definedName name="allfr">!$A$117:$Q$153</definedName>
    <definedName name="allfs">!$A$154:$Q$190</definedName>
    <definedName name="allft">!$A$191:$Q$227</definedName>
    <definedName name="allfz">!$A$228:$Q$264</definedName>
    <definedName name="ALLOC">#REF!</definedName>
    <definedName name="AMT_DOLLAR_PLUS">'[7]Audit B'!$F$272</definedName>
    <definedName name="Assets">#REF!</definedName>
    <definedName name="Assets_in_Allocation">#REF!</definedName>
    <definedName name="Audit_B">'[7]Audit B'!$A$1</definedName>
    <definedName name="AVG">#REF!</definedName>
    <definedName name="aw">[8]Statics!$E$105:$X$116</definedName>
    <definedName name="BADINP">#REF!</definedName>
    <definedName name="BADINP1">#REF!</definedName>
    <definedName name="BADINPD">#REF!</definedName>
    <definedName name="Bal_Change">#REF!</definedName>
    <definedName name="Barri">#REF!</definedName>
    <definedName name="BAS">#REF!</definedName>
    <definedName name="base365">#REF!</definedName>
    <definedName name="BASECASE">#REF!</definedName>
    <definedName name="_xlnm.Database" localSheetId="0">#REF!</definedName>
    <definedName name="_xlnm.Database" localSheetId="25">#REF!</definedName>
    <definedName name="_xlnm.Database">#REF!</definedName>
    <definedName name="begpageno">#REF!</definedName>
    <definedName name="belt">#REF!</definedName>
    <definedName name="belt2">#REF!</definedName>
    <definedName name="belt3">#REF!</definedName>
    <definedName name="BFORECAST">[9]Statics!$A$143</definedName>
    <definedName name="BLPH10001" hidden="1">[10]Datos!$G$4</definedName>
    <definedName name="BLPH10002" hidden="1">[10]Datos!$O$4</definedName>
    <definedName name="BLPH10003" hidden="1">[10]Datos!$E$4</definedName>
    <definedName name="BLPH10004" hidden="1">[10]Datos!$M$4</definedName>
    <definedName name="BLPH10005" hidden="1">[10]Datos!$A$4</definedName>
    <definedName name="BLPH10006" hidden="1">[10]Datos!$C$4</definedName>
    <definedName name="BLPH10007" hidden="1">[10]Datos!$K$4</definedName>
    <definedName name="BLPH10008" hidden="1">[10]Datos!$I$4</definedName>
    <definedName name="BLPH10009" hidden="1">[10]Datos!$S$4</definedName>
    <definedName name="BLPH10010" hidden="1">[10]Datos!$Q$4</definedName>
    <definedName name="brad">#REF!</definedName>
    <definedName name="BRAD_EQUITY_LOANS">[11]BRAD_EQUITY_LOANS!$A$21:$I$430</definedName>
    <definedName name="brad1">#REF!</definedName>
    <definedName name="brad2">#REF!</definedName>
    <definedName name="Branches">[12]Branches!$B$2:$D$79</definedName>
    <definedName name="BS">[13]TM1Input!$D$45</definedName>
    <definedName name="BS96REF">#REF!</definedName>
    <definedName name="BS97REF">#REF!</definedName>
    <definedName name="BS98BREF">#REF!</definedName>
    <definedName name="BSFC97REF">#REF!</definedName>
    <definedName name="Bsfcst">[13]TM1Input!$D$46</definedName>
    <definedName name="Bspit">#REF!</definedName>
    <definedName name="BSPIT96REF">#REF!</definedName>
    <definedName name="BSPIT97REF">#REF!</definedName>
    <definedName name="BSPREADS">#REF!</definedName>
    <definedName name="budlookup">[1]Statics!$I$157:$O$170</definedName>
    <definedName name="budlookup2">[1]Statics!$I$173:$O$186</definedName>
    <definedName name="budlookup3">[1]Statics!$I$193:$O$206</definedName>
    <definedName name="budlookup4">[1]Statics!$I$209:$O$222</definedName>
    <definedName name="budlookup5">[1]Statics!$I$226:$O$239</definedName>
    <definedName name="budlookup6">[1]Statics!$I$243:$O$256</definedName>
    <definedName name="budlookup7">[1]Statics!$I$260:$O$274</definedName>
    <definedName name="by">[1]Statics!$D$18</definedName>
    <definedName name="byline">#REF!</definedName>
    <definedName name="BYMGR">'[14]Process By Mgr'!$C$6</definedName>
    <definedName name="BYMONTH">#REF!</definedName>
    <definedName name="CAMPBELL">#REF!</definedName>
    <definedName name="CAMPINP">#REF!</definedName>
    <definedName name="CAMPINP1">#REF!</definedName>
    <definedName name="CAMPINPD">#REF!</definedName>
    <definedName name="cancel">#REF!</definedName>
    <definedName name="CAR">#REF!</definedName>
    <definedName name="CARRINP">#REF!</definedName>
    <definedName name="CARRINP1">#REF!</definedName>
    <definedName name="CARRINPD">#REF!</definedName>
    <definedName name="CC">[15]Splash!$C$32:$D$75</definedName>
    <definedName name="CEDAR">#REF!</definedName>
    <definedName name="CEDARINP">#REF!</definedName>
    <definedName name="CEDARINP1">#REF!</definedName>
    <definedName name="CEDARINPD">#REF!</definedName>
    <definedName name="CENTERB">#REF!</definedName>
    <definedName name="CENTINP">#REF!</definedName>
    <definedName name="CENTINP1">#REF!</definedName>
    <definedName name="CENTINPD">#REF!</definedName>
    <definedName name="CENTRAL">#REF!</definedName>
    <definedName name="CENTRALINP">#REF!</definedName>
    <definedName name="CENTRALINP1">#REF!</definedName>
    <definedName name="CENTRALINPD">#REF!</definedName>
    <definedName name="CFS">#REF!</definedName>
    <definedName name="CFSLD">#REF!</definedName>
    <definedName name="CFSRANGE1">#REF!</definedName>
    <definedName name="CFSRANGE2">#REF!</definedName>
    <definedName name="choice">[1]Statics!$G$236</definedName>
    <definedName name="church"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church1"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cinco2">[16]ESSBASE_RESULT_Mes!#REF!</definedName>
    <definedName name="CML">#REF!</definedName>
    <definedName name="CML3INP">#REF!</definedName>
    <definedName name="CML3INP1">#REF!</definedName>
    <definedName name="CML3INPD">#REF!</definedName>
    <definedName name="CML4INP">#REF!</definedName>
    <definedName name="CML4INP1">#REF!</definedName>
    <definedName name="CML4INPD">#REF!</definedName>
    <definedName name="CMLINP">#REF!</definedName>
    <definedName name="CMLINP1">#REF!</definedName>
    <definedName name="CMLINPD">#REF!</definedName>
    <definedName name="CMLRE">#REF!</definedName>
    <definedName name="CMLRINP">#REF!</definedName>
    <definedName name="CMLRINP1">#REF!</definedName>
    <definedName name="CMLRINPD">#REF!</definedName>
    <definedName name="COCH">#N/A</definedName>
    <definedName name="collcode">[17]LoanCodes!$B$3:$D$152</definedName>
    <definedName name="COLLINP">#REF!</definedName>
    <definedName name="COLLINP1">#REF!</definedName>
    <definedName name="COLLINPD">#REF!</definedName>
    <definedName name="COLLINS">#REF!</definedName>
    <definedName name="Community">#REF!</definedName>
    <definedName name="COMP_1ALL">[1]Statics!$G$157</definedName>
    <definedName name="COMP_1BS">[1]Statics!$G$154</definedName>
    <definedName name="COMP_1BSPIT">[1]Statics!$G$159</definedName>
    <definedName name="COMP_1FTP">[1]Statics!$G$155</definedName>
    <definedName name="COMP_1IS">[1]Statics!$G$156</definedName>
    <definedName name="COMP_1STAT">[1]Statics!$G$158</definedName>
    <definedName name="COMP_2ALL">[1]Statics!$G$175</definedName>
    <definedName name="COMP_2BS">[1]Statics!$G$172</definedName>
    <definedName name="COMP_2BSPIT">[1]Statics!$G$177</definedName>
    <definedName name="COMP_2FTP">[1]Statics!$G$173</definedName>
    <definedName name="COMP_2IS">[1]Statics!$G$174</definedName>
    <definedName name="COMP_2STAT">[1]Statics!$G$176</definedName>
    <definedName name="COMP_3ALL">[1]Statics!$G$195</definedName>
    <definedName name="COMP_3BS">[1]Statics!$G$192</definedName>
    <definedName name="COMP_3BSPIT">[1]Statics!$G$197</definedName>
    <definedName name="COMP_3FTP">[1]Statics!$G$193</definedName>
    <definedName name="COMP_3IS">[1]Statics!$G$194</definedName>
    <definedName name="COMP_3STAT">[1]Statics!$G$196</definedName>
    <definedName name="COMP_4ALL">[1]Statics!$G$211</definedName>
    <definedName name="COMP_4BS">[1]Statics!$G$208</definedName>
    <definedName name="COMP_4BSPIT">[1]Statics!$G$213</definedName>
    <definedName name="COMP_4FTP">[1]Statics!$G$209</definedName>
    <definedName name="COMP_4IS">[1]Statics!$G$210</definedName>
    <definedName name="COMP_4STAT">[1]Statics!$G$212</definedName>
    <definedName name="COMP_5ALL">[1]Statics!$G$228</definedName>
    <definedName name="COMP_5BS">[1]Statics!$G$225</definedName>
    <definedName name="COMP_5BSPIT">[1]Statics!$G$230</definedName>
    <definedName name="COMP_5FTP">[1]Statics!$G$226</definedName>
    <definedName name="COMP_5IS">[1]Statics!$G$227</definedName>
    <definedName name="COMP_5STAT">[1]Statics!$G$229</definedName>
    <definedName name="COMP_6ALL">[1]Statics!$G$245</definedName>
    <definedName name="COMP_6BS">[1]Statics!$G$242</definedName>
    <definedName name="COMP_6BSPIT">[1]Statics!$G$247</definedName>
    <definedName name="COMP_6FTP">[1]Statics!$G$243</definedName>
    <definedName name="COMP_6IS">[1]Statics!$G$244</definedName>
    <definedName name="COMP_6STAT">[1]Statics!$G$246</definedName>
    <definedName name="COMP_7ALL">[1]Statics!$G$262</definedName>
    <definedName name="COMP_7BS">[1]Statics!$G$259</definedName>
    <definedName name="COMP_7BSPIT">[1]Statics!$G$264</definedName>
    <definedName name="COMP_7FTP">[1]Statics!$G$260</definedName>
    <definedName name="COMP_7IS">[1]Statics!$G$261</definedName>
    <definedName name="COMP_7STAT">[1]Statics!$G$263</definedName>
    <definedName name="comp360days">[6]Statics!$Q$202:$T$214</definedName>
    <definedName name="comp360daysa">[6]Statics!$R$202:$T$214</definedName>
    <definedName name="COMP5_FTP">#REF!</definedName>
    <definedName name="comparison2">#REF!</definedName>
    <definedName name="comparison4">#REF!</definedName>
    <definedName name="compdays1">[6]Statics!$Q$150:$T$162</definedName>
    <definedName name="compdays1a">[6]Statics!$R$150:$T$162</definedName>
    <definedName name="compdays2">[6]Statics!$Q$163:$T$175</definedName>
    <definedName name="compdays2a">[6]Statics!$R$163:$T$175</definedName>
    <definedName name="compdays3">[6]Statics!$Q$176:$T$188</definedName>
    <definedName name="compdays3a">[6]Statics!$R$176:$T$188</definedName>
    <definedName name="compdays4">[6]Statics!$Q$189:$T$201</definedName>
    <definedName name="compdays4a">[6]Statics!$R$189:$T$201</definedName>
    <definedName name="compmoytddays">[18]Statics!$I$170</definedName>
    <definedName name="COMPYR4">[1]Statics!$I$208</definedName>
    <definedName name="COMPYR5">[1]Statics!$I$225</definedName>
    <definedName name="COMPYR6">[1]Statics!$I$242</definedName>
    <definedName name="COMPYR7">[1]Statics!$I$259</definedName>
    <definedName name="compyrlink">[6]Statics!$E$152</definedName>
    <definedName name="compyrlink1">[1]Statics!$E$155</definedName>
    <definedName name="compyrlink2">[1]Statics!$E$173</definedName>
    <definedName name="compyrlink3">[1]Statics!$E$193</definedName>
    <definedName name="compyrlink4">[1]Statics!$E$209</definedName>
    <definedName name="compyrlink5">[1]Statics!$E$226</definedName>
    <definedName name="compyrlink6">[1]Statics!$E$243</definedName>
    <definedName name="compyrlink7">[1]Statics!$E$260</definedName>
    <definedName name="compyrlist">[6]Statics!$D$151:$D$158</definedName>
    <definedName name="compyrlist1">[1]Statics!$D$154:$D$162</definedName>
    <definedName name="compyrlist2">[1]Statics!$D$172:$D$180</definedName>
    <definedName name="compyrlist3">[1]Statics!$D$192:$D$200</definedName>
    <definedName name="compyrlist4">[1]Statics!$D$208:$D$216</definedName>
    <definedName name="COMPYRLIST5">[1]Statics!$D$225:$D$233</definedName>
    <definedName name="COMPYRLIST6">[1]Statics!$D$242:$D$250</definedName>
    <definedName name="compyrlist7">[1]Statics!$D$259:$D$268</definedName>
    <definedName name="CON">#N/A</definedName>
    <definedName name="CONSINP">#REF!</definedName>
    <definedName name="CONSINP1">#REF!</definedName>
    <definedName name="CONSINPD">#REF!</definedName>
    <definedName name="CONTROL">#REF!</definedName>
    <definedName name="CORNER">#REF!</definedName>
    <definedName name="CORNINP">#REF!</definedName>
    <definedName name="CORNINP1">#REF!</definedName>
    <definedName name="CORNINPD">#REF!</definedName>
    <definedName name="CORP">#REF!</definedName>
    <definedName name="Cost_Center_Attributes">#REF!</definedName>
    <definedName name="CostCenterName">#REF!</definedName>
    <definedName name="COUNTER">#REF!</definedName>
    <definedName name="CSPREADS">#REF!</definedName>
    <definedName name="CTRNAME">#REF!</definedName>
    <definedName name="CubeBs">#REF!</definedName>
    <definedName name="CubeDpStat">#REF!</definedName>
    <definedName name="CubeFtp">#REF!</definedName>
    <definedName name="CubeIs">#REF!</definedName>
    <definedName name="CubeIsAll">#REF!</definedName>
    <definedName name="CubeLnStat">#REF!</definedName>
    <definedName name="CubeStat">#REF!</definedName>
    <definedName name="curmo">[1]Statics!$G$119</definedName>
    <definedName name="Current_Month">[19]Input!$E$2</definedName>
    <definedName name="Current_Month_Short">#REF!</definedName>
    <definedName name="Current_Year">[19]Input!$E$3</definedName>
    <definedName name="CurrentMonth">#REF!</definedName>
    <definedName name="CurrentVersion">#REF!</definedName>
    <definedName name="CurrentView">#REF!</definedName>
    <definedName name="cy">[1]Statics!$D$11</definedName>
    <definedName name="CYISALL">[20]statics!$B$52</definedName>
    <definedName name="data">#REF!</definedName>
    <definedName name="DATE">[21]Statics!$D$93</definedName>
    <definedName name="DATOS">[22]Datos!$A$10:$F$90</definedName>
    <definedName name="Days_Look_Up_Table">#REF!</definedName>
    <definedName name="Days_Per_Month">#REF!</definedName>
    <definedName name="Days_Per_Month_List">#REF!</definedName>
    <definedName name="DaysRem">[13]TM1Input!$D$35</definedName>
    <definedName name="DaysYTD">[13]TM1Input!$D$34</definedName>
    <definedName name="DDA">#REF!</definedName>
    <definedName name="DDAProducts">[12]Branches!$H$3:$K$16</definedName>
    <definedName name="dealer">#REF!</definedName>
    <definedName name="DedCC">[15]Splash!$I$32:$J$75</definedName>
    <definedName name="DEPOSITS">#REF!</definedName>
    <definedName name="dgjjkm">[8]Statics!$A$136</definedName>
    <definedName name="diag1">[23]!diag1</definedName>
    <definedName name="diag4">[23]!diag4</definedName>
    <definedName name="DIAS">#REF!</definedName>
    <definedName name="diasmes">#REF!</definedName>
    <definedName name="dos">[24]ppto!#REF!</definedName>
    <definedName name="DOWN">#REF!</definedName>
    <definedName name="DOWNINP">#REF!</definedName>
    <definedName name="DOWNINP1">#REF!</definedName>
    <definedName name="DOWNINPD">#REF!</definedName>
    <definedName name="DUNCAN">#REF!</definedName>
    <definedName name="DUNCANINP">#REF!</definedName>
    <definedName name="DUNCANINP1">#REF!</definedName>
    <definedName name="DUNCANINPD">#REF!</definedName>
    <definedName name="EAST">#REF!</definedName>
    <definedName name="EASTD">#REF!</definedName>
    <definedName name="EASTDINP">#REF!</definedName>
    <definedName name="EASTDINP1">#REF!</definedName>
    <definedName name="EASTDINPD">#REF!</definedName>
    <definedName name="EASTINP">#REF!</definedName>
    <definedName name="EASTINP1">#REF!</definedName>
    <definedName name="EASTINPD">#REF!</definedName>
    <definedName name="effdate">#REF!</definedName>
    <definedName name="END">#REF!</definedName>
    <definedName name="end_date">#REF!</definedName>
    <definedName name="ENERGY">#REF!</definedName>
    <definedName name="ENERINP">#REF!</definedName>
    <definedName name="ENERINP1">#REF!</definedName>
    <definedName name="ENERINPD">#REF!</definedName>
    <definedName name="Entidades">#REF!</definedName>
    <definedName name="EOM">[25]TM1Input!$E$21</definedName>
    <definedName name="EQUITY1">[1]Statics!$K$155</definedName>
    <definedName name="EQUITY2">[1]Statics!$K$171</definedName>
    <definedName name="EQUITY3">[1]Statics!$K$191</definedName>
    <definedName name="EQUITY4">[1]Statics!$K$207</definedName>
    <definedName name="EQUITY5">[1]Statics!$K$224</definedName>
    <definedName name="EraseRange">'[26]NIE Input'!#REF!</definedName>
    <definedName name="error" localSheetId="0">#REF!</definedName>
    <definedName name="error" localSheetId="25">#REF!</definedName>
    <definedName name="error">#REF!</definedName>
    <definedName name="EssOptions" localSheetId="0">"A1100000000110000011001100020_01000"</definedName>
    <definedName name="EssSamplingValue" localSheetId="0">100</definedName>
    <definedName name="fce1a">[1]Statics!$L$155</definedName>
    <definedName name="fce2a">[1]Statics!$L$171</definedName>
    <definedName name="fce3a">[1]Statics!$L$191</definedName>
    <definedName name="fce4a">[1]Statics!$L$207</definedName>
    <definedName name="fce5a">[1]Statics!$L$224</definedName>
    <definedName name="fce6a">[1]Statics!$L$241</definedName>
    <definedName name="fce7a">[1]Statics!$L$258</definedName>
    <definedName name="fcelink1">[1]Statics!$J$155</definedName>
    <definedName name="fcelink2">[1]Statics!$J$171</definedName>
    <definedName name="fcelink3">[1]Statics!$J$191</definedName>
    <definedName name="fcelink4">[1]Statics!$J$207</definedName>
    <definedName name="fcelink5">[1]Statics!$J$224</definedName>
    <definedName name="fcelink6">[1]Statics!$J$241</definedName>
    <definedName name="fcelink7">[1]Statics!$J$258</definedName>
    <definedName name="fcelist1">[1]Statics!$I$157:$I$170</definedName>
    <definedName name="fcelist2">[1]Statics!$I$173:$I$186</definedName>
    <definedName name="fcelist3">[1]Statics!$I$193:$I$206</definedName>
    <definedName name="fcelist4">[1]Statics!$I$209:$I$222</definedName>
    <definedName name="fcelist5">[1]Statics!$I$226:$I$239</definedName>
    <definedName name="fcelist6">[1]Statics!$I$243:$I$256</definedName>
    <definedName name="fcelist7">[1]Statics!$I$260:$I$274</definedName>
    <definedName name="FCFGLatLong">#REF!</definedName>
    <definedName name="Fcst">[13]TM1Input!$B$25</definedName>
    <definedName name="fcstclosedate">[27]Input!$G$6</definedName>
    <definedName name="fcstlist">[1]Statics!$A$19:$A$20</definedName>
    <definedName name="fcstlookup">#REF!</definedName>
    <definedName name="fcstyear">[1]Statics!$B$110</definedName>
    <definedName name="fcstyrlink">[1]Statics!$B$111</definedName>
    <definedName name="fcvsvc">#REF!</definedName>
    <definedName name="fe">#REF!</definedName>
    <definedName name="FECHA">[28]BRASIL!#REF!</definedName>
    <definedName name="FG">!$A$43</definedName>
    <definedName name="fgdetails">'[29]BILL - Current'!$A$11,'[29]BILL - Current'!$A$25</definedName>
    <definedName name="fgmax">#REF!</definedName>
    <definedName name="fgmemo">#REF!</definedName>
    <definedName name="fgrptlines">"Drop Down 13"</definedName>
    <definedName name="fgstart">#REF!</definedName>
    <definedName name="FI">!$A$80</definedName>
    <definedName name="FIDELINP">#REF!</definedName>
    <definedName name="FIDELINP1">#REF!</definedName>
    <definedName name="FIDELINPD">#REF!</definedName>
    <definedName name="FIDELITY">#REF!</definedName>
    <definedName name="fidetails">'[29]BILL - Current'!$A$28,'[29]BILL - Current'!$A$36</definedName>
    <definedName name="fimax">#REF!</definedName>
    <definedName name="fimemo">#REF!</definedName>
    <definedName name="firptlines">"Drop Down 14"</definedName>
    <definedName name="fistart">#REF!</definedName>
    <definedName name="FIX">#REF!</definedName>
    <definedName name="FLOWER">#REF!</definedName>
    <definedName name="FLOWERINP">#REF!</definedName>
    <definedName name="FLOWERINP1">#REF!</definedName>
    <definedName name="FLOWERINPD">#REF!</definedName>
    <definedName name="FOREST">#REF!</definedName>
    <definedName name="FORESTINP">#REF!</definedName>
    <definedName name="FORESTINP1">#REF!</definedName>
    <definedName name="FORESTINPD">#REF!</definedName>
    <definedName name="FR">!$A$117</definedName>
    <definedName name="frdetails">#REF!</definedName>
    <definedName name="FRISCO">#REF!</definedName>
    <definedName name="FRISINP">#REF!</definedName>
    <definedName name="FRISINP1">#REF!</definedName>
    <definedName name="FRISINPD">#REF!</definedName>
    <definedName name="FS">!$A$154</definedName>
    <definedName name="fsdetails">'[29]BILL - Current'!$A$54,'[29]BILL - Current'!$A$61</definedName>
    <definedName name="fsmax">#REF!</definedName>
    <definedName name="fsmemo">#REF!</definedName>
    <definedName name="fsrptlines">"Drop Down 15"</definedName>
    <definedName name="fsstart">#REF!</definedName>
    <definedName name="FT">!$A$191</definedName>
    <definedName name="FT98BREF">#REF!</definedName>
    <definedName name="FTA">[14]FTA!$C$6</definedName>
    <definedName name="FTB">[14]FTB!$C$6</definedName>
    <definedName name="FTC">[14]FTC!$C$6</definedName>
    <definedName name="FTD">[14]FTD!$C$6</definedName>
    <definedName name="ftdetails">'[29]BILL - Current'!$A$43,'[29]BILL - Current'!$A$51</definedName>
    <definedName name="FTE">[14]FTE!$C$6</definedName>
    <definedName name="FTF">[14]FTF!$C$6</definedName>
    <definedName name="FTFC97REF">#REF!</definedName>
    <definedName name="FTG">[14]FTG!$C$6</definedName>
    <definedName name="FTH">[14]FTH!$C$6</definedName>
    <definedName name="FTI">#REF!</definedName>
    <definedName name="FTJ">[14]FTJ!$C$6</definedName>
    <definedName name="FTL">[14]FTL!$C$6</definedName>
    <definedName name="ftmax">#REF!</definedName>
    <definedName name="ftmemo">#REF!</definedName>
    <definedName name="FTP96REF">#REF!</definedName>
    <definedName name="FTP97REF">#REF!</definedName>
    <definedName name="ftrptlines">"Drop Down 16"</definedName>
    <definedName name="ftstart">#REF!</definedName>
    <definedName name="fu">[8]Statics!$A$123</definedName>
    <definedName name="FullYr">[13]TM1Input!$B$35</definedName>
    <definedName name="Fund1">[30]TM1Input!$G$19</definedName>
    <definedName name="Fund2">[30]TM1Input!$G$20</definedName>
    <definedName name="Fund3">[30]TM1Input!$G$21</definedName>
    <definedName name="FURN">#REF!</definedName>
    <definedName name="FURNINP">#REF!</definedName>
    <definedName name="FURNINP1">#REF!</definedName>
    <definedName name="FURNINPD">#REF!</definedName>
    <definedName name="fy">[1]Statics!$D$19</definedName>
    <definedName name="FZ">!$A$228</definedName>
    <definedName name="fzdetails">#REF!</definedName>
    <definedName name="g">#REF!</definedName>
    <definedName name="GGG">[24]ppto!#REF!</definedName>
    <definedName name="GLEN">#REF!</definedName>
    <definedName name="GLENINP">#REF!</definedName>
    <definedName name="GLENINP1">#REF!</definedName>
    <definedName name="GLENINPD">#REF!</definedName>
    <definedName name="gsa">[8]Statics!$A$117</definedName>
    <definedName name="HILL">#REF!</definedName>
    <definedName name="HILLINP">#REF!</definedName>
    <definedName name="HILLINP1">#REF!</definedName>
    <definedName name="HILLINPD">#REF!</definedName>
    <definedName name="HJSDJASD" hidden="1">[31]DepMix!#REF!</definedName>
    <definedName name="holidays">#REF!</definedName>
    <definedName name="HOLIDAYS2">#REF!</definedName>
    <definedName name="HOME">#REF!</definedName>
    <definedName name="I_GLOBAL">#REF!</definedName>
    <definedName name="IBEX">'[3]Dades Reuters'!$I$3:$J$103</definedName>
    <definedName name="Import">[32]!Import</definedName>
    <definedName name="INDEINP">#REF!</definedName>
    <definedName name="INDEINP1">#REF!</definedName>
    <definedName name="INDEINPD">#REF!</definedName>
    <definedName name="INDEP">#REF!</definedName>
    <definedName name="IndirRollup">[13]TM1Input!#REF!</definedName>
    <definedName name="INIT">[9]Statics!$A$141</definedName>
    <definedName name="InputCostCenter">#REF!</definedName>
    <definedName name="INTCON">#REF!</definedName>
    <definedName name="Inversion_total_Latam" localSheetId="0">[33]Posiciones!$L$24</definedName>
    <definedName name="Inversion_total_Latam" localSheetId="25">[33]Posiciones!$L$24</definedName>
    <definedName name="Inversion_total_Latam">[34]Posiciones!$L$24</definedName>
    <definedName name="IS">[13]TM1Input!$D$48</definedName>
    <definedName name="IS00VS99">#REF!</definedName>
    <definedName name="IS1ST12">#REF!</definedName>
    <definedName name="IS96REF">#REF!</definedName>
    <definedName name="IS97REF">#REF!</definedName>
    <definedName name="IS98BREF">#REF!</definedName>
    <definedName name="ISFC97REF">#REF!</definedName>
    <definedName name="Isfcst">[13]TM1Input!$D$49</definedName>
    <definedName name="ISMOYTDFYF">#REF!</definedName>
    <definedName name="LAG">[9]Statics!$V$190:$Y$241</definedName>
    <definedName name="LAKE">#REF!</definedName>
    <definedName name="LAKEINP">#REF!</definedName>
    <definedName name="LAKEINP1">#REF!</definedName>
    <definedName name="LAKEINPD">#REF!</definedName>
    <definedName name="LAS">#REF!</definedName>
    <definedName name="LASINP">#REF!</definedName>
    <definedName name="LASINP1">#REF!</definedName>
    <definedName name="LASINPD">#REF!</definedName>
    <definedName name="LINE">#REF!</definedName>
    <definedName name="ListMonths">#REF!</definedName>
    <definedName name="ljoylgio">[8]Statics!$A$76</definedName>
    <definedName name="ljyolgbf">[8]Statics!$A$93</definedName>
    <definedName name="ll">[28]BRASIL!#REF!</definedName>
    <definedName name="LOANS">#REF!</definedName>
    <definedName name="loanslookup">#REF!</definedName>
    <definedName name="LOBDEP">#REF!</definedName>
    <definedName name="LOBLOANS">#REF!</definedName>
    <definedName name="MAC">#REF!</definedName>
    <definedName name="MACINP">#REF!</definedName>
    <definedName name="MACINP1">#REF!</definedName>
    <definedName name="MACINPD">#REF!</definedName>
    <definedName name="Macro_Page">'[7]Extras!'!$A$1</definedName>
    <definedName name="MAIN">#REF!</definedName>
    <definedName name="MAININP">#REF!</definedName>
    <definedName name="MAININP1">#REF!</definedName>
    <definedName name="MAININPD">#REF!</definedName>
    <definedName name="Managed_Loan_Budget_YTD">#REF!</definedName>
    <definedName name="Managed_Loan_Forecast_YTD">#REF!</definedName>
    <definedName name="MATINP">#REF!</definedName>
    <definedName name="MATINP1">#REF!</definedName>
    <definedName name="MATINPD">#REF!</definedName>
    <definedName name="MATLOCK">#REF!</definedName>
    <definedName name="MEDICAL">#REF!</definedName>
    <definedName name="MEDIINP">#REF!</definedName>
    <definedName name="MEDIINP1">#REF!</definedName>
    <definedName name="MEDIINPD">#REF!</definedName>
    <definedName name="memohide">[23]!memohide</definedName>
    <definedName name="MESQINP">#REF!</definedName>
    <definedName name="MESQINP1">#REF!</definedName>
    <definedName name="MESQINPD">#REF!</definedName>
    <definedName name="MESQUITE">#REF!</definedName>
    <definedName name="Metro">#REF!</definedName>
    <definedName name="mfhjn">[8]Statics!$A$73</definedName>
    <definedName name="mgmtrpt">#REF!</definedName>
    <definedName name="mgmtrpt2">#REF!</definedName>
    <definedName name="mlink">[6]Statics!$U$150:$V$174</definedName>
    <definedName name="MLINP1">#REF!</definedName>
    <definedName name="mloans">[35]Statics!$A$124:$C$134</definedName>
    <definedName name="mnthly">[36]Data!$F$15:$T$50,[36]Data!$V$15:$AK$50,[36]Data!#REF!,[36]Data!#REF!,[36]Data!#REF!,[36]Data!#REF!,[36]Data!#REF!,[36]Data!#REF!,[36]Data!#REF!,[36]Data!#REF!,[36]Data!#REF!,[36]Data!#REF!</definedName>
    <definedName name="MO.">#REF!</definedName>
    <definedName name="MOCKING">#REF!</definedName>
    <definedName name="MOCKINGINP">#REF!</definedName>
    <definedName name="MOCKINGINP1">#REF!</definedName>
    <definedName name="MOCKINGINPD">#REF!</definedName>
    <definedName name="MODAYS">#REF!</definedName>
    <definedName name="Month_Abbrev_List">#REF!</definedName>
    <definedName name="Month_Num">#REF!</definedName>
    <definedName name="Month_Number_List">#REF!</definedName>
    <definedName name="Month_Span">#REF!</definedName>
    <definedName name="Month_Year">#REF!</definedName>
    <definedName name="Monthf">[37]TM1Input!$C$23</definedName>
    <definedName name="monthfind">#REF!</definedName>
    <definedName name="Monthly">#REF!,#REF!,#REF!,#REF!,#REF!,#REF!,#REF!</definedName>
    <definedName name="MonthlyDataSet">#REF!,#REF!,#REF!,#REF!,#REF!,#REF!,#REF!</definedName>
    <definedName name="MonthlyDataSet2">#REF!,#REF!,#REF!,#REF!,#REF!,#REF!,#REF!</definedName>
    <definedName name="MonthlyDataSet3">#REF!,#REF!,#REF!,#REF!,#REF!,#REF!</definedName>
    <definedName name="MONUM">#REF!</definedName>
    <definedName name="MOVSMO">#REF!</definedName>
    <definedName name="MOYTDDAYS">#REF!</definedName>
    <definedName name="MTD">#REF!</definedName>
    <definedName name="MTD_INCOME">#REF!</definedName>
    <definedName name="MTDP">[25]TM1Input!$E$33</definedName>
    <definedName name="MTGCON">#REF!</definedName>
    <definedName name="MTGINP">#REF!</definedName>
    <definedName name="MTGINP1">#REF!</definedName>
    <definedName name="MTGINPD">#REF!</definedName>
    <definedName name="mybase">[1]Statics!$G$117</definedName>
    <definedName name="mycomparison">#REF!</definedName>
    <definedName name="myfce1">#REF!</definedName>
    <definedName name="myfce2">#REF!</definedName>
    <definedName name="myfce3">#REF!</definedName>
    <definedName name="myfce4">#REF!</definedName>
    <definedName name="myfce5">#REF!</definedName>
    <definedName name="myfce6">#REF!</definedName>
    <definedName name="myperiod1">#REF!</definedName>
    <definedName name="myperiod2">#REF!</definedName>
    <definedName name="myperiod3">#REF!</definedName>
    <definedName name="myperiod4">#REF!</definedName>
    <definedName name="myperiod5">#REF!</definedName>
    <definedName name="myperiod6">#REF!</definedName>
    <definedName name="myyear1">#REF!</definedName>
    <definedName name="myyear2">#REF!</definedName>
    <definedName name="myyear3">#REF!</definedName>
    <definedName name="myyear4">#REF!</definedName>
    <definedName name="myyear5">#REF!</definedName>
    <definedName name="myyear6">#REF!</definedName>
    <definedName name="nada">#REF!</definedName>
    <definedName name="NETII">#REF!</definedName>
    <definedName name="NEW_LOAN_ORIGINATIONS">#REF!</definedName>
    <definedName name="NEXTYEAR">[38]Statics!$A$9</definedName>
    <definedName name="NIE">#REF!</definedName>
    <definedName name="NIE00VS99">[1]NIE!$C$10:$R$172</definedName>
    <definedName name="NII">#REF!</definedName>
    <definedName name="NII_INDEX">#REF!</definedName>
    <definedName name="NII_SIZE">#REF!</definedName>
    <definedName name="NII00VS99">[1]NII!$C$10:$U$146</definedName>
    <definedName name="NII97FORMULA">#REF!</definedName>
    <definedName name="NIM00VS99">[1]NIM!$C$10:$N$100</definedName>
    <definedName name="Nominal_emision__Rang2" localSheetId="0">#REF!</definedName>
    <definedName name="Nominal_emision__Rang2" localSheetId="25">#REF!</definedName>
    <definedName name="Nominal_emision__Rang2">#REF!</definedName>
    <definedName name="NOTES">[1]INPUT!$C$53:$G$60</definedName>
    <definedName name="NotesExport">[39]!NotesExport</definedName>
    <definedName name="NumMonth">#REF!</definedName>
    <definedName name="ny">[1]Statics!$D$17</definedName>
    <definedName name="NY2ALL">#REF!</definedName>
    <definedName name="NY2BS">#REF!</definedName>
    <definedName name="NY2FTP">#REF!</definedName>
    <definedName name="NY2IS">#REF!</definedName>
    <definedName name="NY2STAT">#REF!</definedName>
    <definedName name="nya">[6]Statics!$D$13</definedName>
    <definedName name="OAK">#REF!</definedName>
    <definedName name="OAKINP">#REF!</definedName>
    <definedName name="OAKINP1">#REF!</definedName>
    <definedName name="OAKINPD">#REF!</definedName>
    <definedName name="occupancy">#REF!</definedName>
    <definedName name="ONE">'[40]Roling Month Input Page'!#REF!</definedName>
    <definedName name="Opciones">#REF!</definedName>
    <definedName name="output">[41]output!$1:$1048576</definedName>
    <definedName name="P1_360">[9]Statics!$X$190</definedName>
    <definedName name="P1LAG">[9]Statics!$V$190</definedName>
    <definedName name="P1LINK">[1]Statics!$X$153</definedName>
    <definedName name="P2_360">[9]Statics!$X$216</definedName>
    <definedName name="P2LAG">[9]Statics!$V$216</definedName>
    <definedName name="P2LINK">[1]Statics!$X$154</definedName>
    <definedName name="P3_360">[9]Statics!$X$242</definedName>
    <definedName name="P3Lag">[9]Statics!$V$242</definedName>
    <definedName name="P3LINK">[1]Statics!$X$155</definedName>
    <definedName name="P4_360">[9]Statics!$X$268</definedName>
    <definedName name="P4lag">[9]Statics!$V$268</definedName>
    <definedName name="P4LINK">[1]Statics!$X$156</definedName>
    <definedName name="P5LINK">[1]Statics!$X$157</definedName>
    <definedName name="P6LINK">[1]Statics!$X$158</definedName>
    <definedName name="P7LINK">[1]Statics!$X$159</definedName>
    <definedName name="PARK">#REF!</definedName>
    <definedName name="PARKINP">#REF!</definedName>
    <definedName name="PARKINP1">#REF!</definedName>
    <definedName name="PARKINPD">#REF!</definedName>
    <definedName name="PART2">#REF!</definedName>
    <definedName name="Pass1Button">"Button 4"</definedName>
    <definedName name="Pass2Button">"Button 5"</definedName>
    <definedName name="PERIOD">[6]Statics!$G$149</definedName>
    <definedName name="PERIOD1">[1]Statics!$Y$153</definedName>
    <definedName name="PERIOD2">[1]Statics!$Y$154</definedName>
    <definedName name="PERIOD3">[1]Statics!$Y$155</definedName>
    <definedName name="PERIOD4">[1]Statics!$Y$156</definedName>
    <definedName name="PERIOD5">[1]Statics!$Y$157</definedName>
    <definedName name="PERIOD6">[1]Statics!$Y$158</definedName>
    <definedName name="PERIOD7">[1]Statics!$Y$159</definedName>
    <definedName name="PERIODRANGE">[1]Statics!$V$153:$V$178</definedName>
    <definedName name="periodselect">[29]!periodselect</definedName>
    <definedName name="personnel">#REF!</definedName>
    <definedName name="pickmonth">#REF!</definedName>
    <definedName name="PLAG1">[1]Statics!$AC$181</definedName>
    <definedName name="plag2">[1]Statics!$AC$207</definedName>
    <definedName name="plag3">[1]Statics!$AC$233</definedName>
    <definedName name="plag4">[1]Statics!$AC$259</definedName>
    <definedName name="plag5">[1]Statics!$AC$285</definedName>
    <definedName name="plag6">[1]Statics!$AC$311</definedName>
    <definedName name="Plan">[42]NOVPLAN!$A:$H</definedName>
    <definedName name="PLAZA">#REF!</definedName>
    <definedName name="PLAZINP">#REF!</definedName>
    <definedName name="PLAZINP1">#REF!</definedName>
    <definedName name="PLAZINPD">#REF!</definedName>
    <definedName name="PR4YEAR">[1]Statics!$A$15</definedName>
    <definedName name="PR5YEAR">[1]Statics!$A$16</definedName>
    <definedName name="PREF">#REF!</definedName>
    <definedName name="Prefix">[12]Branches!$M$3:$N$7</definedName>
    <definedName name="preparedby">[43]Input!$B$40</definedName>
    <definedName name="PRESCTR">#REF!</definedName>
    <definedName name="PRESINP">#REF!</definedName>
    <definedName name="PRESINP1">#REF!</definedName>
    <definedName name="PRESINPD">#REF!</definedName>
    <definedName name="PRESTON">#REF!</definedName>
    <definedName name="PRETAX">#REF!</definedName>
    <definedName name="Print_Page">[44]Print!$A$1</definedName>
    <definedName name="print1">[45]!print1</definedName>
    <definedName name="printreports">[23]!printreports</definedName>
    <definedName name="Prior_Year">#REF!</definedName>
    <definedName name="PRIVATE">#REF!</definedName>
    <definedName name="PRIVINP">#REF!</definedName>
    <definedName name="PRIVINP1">#REF!</definedName>
    <definedName name="PRIVINPD">#REF!</definedName>
    <definedName name="promig">'[3]Accions BS '!$A$45:$B$61</definedName>
    <definedName name="PROMINP">#REF!</definedName>
    <definedName name="PROMINP1">#REF!</definedName>
    <definedName name="PROMINPD">#REF!</definedName>
    <definedName name="py">[1]Statics!$D$12</definedName>
    <definedName name="PY2ISALL">[1]Statics!$B$62</definedName>
    <definedName name="PY3ISALL">[1]Statics!$B$68</definedName>
    <definedName name="py4a">[6]Statics!$D$18</definedName>
    <definedName name="py5a">[1]Statics!$D$16</definedName>
    <definedName name="q">[8]Statics!$A$144</definedName>
    <definedName name="QTRFCST">[9]Statics!$A$139</definedName>
    <definedName name="qw">[8]Statics!$A$93</definedName>
    <definedName name="qwthn">[8]Statics!$A$144</definedName>
    <definedName name="rang">'[3]Dades Reuters'!$A$3:$G$103</definedName>
    <definedName name="Rang10" localSheetId="0">#REF!</definedName>
    <definedName name="Rang10" localSheetId="25">#REF!</definedName>
    <definedName name="Rang10">#REF!</definedName>
    <definedName name="Rang11" localSheetId="0">#REF!</definedName>
    <definedName name="Rang11" localSheetId="25">#REF!</definedName>
    <definedName name="Rang11">#REF!</definedName>
    <definedName name="Rang2" localSheetId="0">#REF!</definedName>
    <definedName name="Rang2" localSheetId="25">#REF!</definedName>
    <definedName name="Rang2">#REF!</definedName>
    <definedName name="Rang3" localSheetId="0">#REF!</definedName>
    <definedName name="Rang3" localSheetId="25">#REF!</definedName>
    <definedName name="Rang3">#REF!</definedName>
    <definedName name="Rang4" localSheetId="0">#REF!</definedName>
    <definedName name="Rang4" localSheetId="25">#REF!</definedName>
    <definedName name="Rang4">#REF!</definedName>
    <definedName name="Rang7" localSheetId="0">#REF!</definedName>
    <definedName name="Rang7" localSheetId="25">#REF!</definedName>
    <definedName name="Rang7">#REF!</definedName>
    <definedName name="Rang8" localSheetId="0">#REF!</definedName>
    <definedName name="Rang8" localSheetId="25">#REF!</definedName>
    <definedName name="Rang8">#REF!</definedName>
    <definedName name="Rang9" localSheetId="0">#REF!</definedName>
    <definedName name="Rang9" localSheetId="25">#REF!</definedName>
    <definedName name="Rang9">#REF!</definedName>
    <definedName name="RangeNames">#REF!</definedName>
    <definedName name="RANGO" localSheetId="0">[46]TABLA_EPIGRAFES!#REF!</definedName>
    <definedName name="RANGO" localSheetId="25">[46]TABLA_EPIGRAFES!#REF!</definedName>
    <definedName name="RANGO">[46]TABLA_EPIGRAFES!#REF!</definedName>
    <definedName name="RANGO2" localSheetId="0">[47]TABLA_EPIGRAFES!#REF!</definedName>
    <definedName name="RANGO2" localSheetId="25">[47]TABLA_EPIGRAFES!#REF!</definedName>
    <definedName name="RANGO2">[47]TABLA_EPIGRAFES!#REF!</definedName>
    <definedName name="RefIsAll">#REF!</definedName>
    <definedName name="RefPps">#REF!</definedName>
    <definedName name="Relocation">#REF!</definedName>
    <definedName name="ReportList">#REF!</definedName>
    <definedName name="ResRollup">[48]TM1Input!$G$24</definedName>
    <definedName name="RETAIL">#REF!</definedName>
    <definedName name="RETAILINV">#REF!</definedName>
    <definedName name="RETINV">#REF!</definedName>
    <definedName name="RETLNS">#REF!</definedName>
    <definedName name="RETLNSINP">#REF!</definedName>
    <definedName name="RETLNSINP1">#REF!</definedName>
    <definedName name="RETLNSINPD">#REF!</definedName>
    <definedName name="RICH">#REF!</definedName>
    <definedName name="Rollup">[13]TM1Input!$B$15</definedName>
    <definedName name="ROSEDALE">#REF!</definedName>
    <definedName name="ROSEINP">#REF!</definedName>
    <definedName name="ROSEINP1">#REF!</definedName>
    <definedName name="ROSEINPD">#REF!</definedName>
    <definedName name="ROWS">#REF!</definedName>
    <definedName name="RRR">[24]ppto!#REF!</definedName>
    <definedName name="Runoff">#REF!</definedName>
    <definedName name="sa">[8]Statics!$A$136</definedName>
    <definedName name="SBA">#REF!</definedName>
    <definedName name="SBAINP">#REF!</definedName>
    <definedName name="SBAINP1">#REF!</definedName>
    <definedName name="SBAINPD">#REF!</definedName>
    <definedName name="SBBO">#REF!</definedName>
    <definedName name="SBBOINP">#REF!</definedName>
    <definedName name="SBBOINP1">#REF!</definedName>
    <definedName name="SBBOINPD">#REF!</definedName>
    <definedName name="SCENARIO1">#REF!</definedName>
    <definedName name="sd">[8]Statics!$A$117</definedName>
    <definedName name="SDES">[49]DATOS!$A$11:$J$50</definedName>
    <definedName name="SecRollup">[13]TM1Input!$G$23</definedName>
    <definedName name="Selected_Month">#REF!</definedName>
    <definedName name="Selected_Version">#REF!</definedName>
    <definedName name="Selected_View">#REF!</definedName>
    <definedName name="Selected_Year">#REF!</definedName>
    <definedName name="server1">[50]Input!$E$10</definedName>
    <definedName name="Server2">#REF!</definedName>
    <definedName name="Short_Month_Year">#REF!</definedName>
    <definedName name="Slot_3Growth">[15]Splash!$C$5:$N$7,[15]Splash!$C$9:$N$10</definedName>
    <definedName name="Slot_3PerSimple">[15]Splash!$C$5:$N$7,[15]Splash!$C$9:$N$10,[15]Splash!$C$12:$N$13</definedName>
    <definedName name="snhg">[8]Statics!$A$13</definedName>
    <definedName name="SPREADS">#REF!</definedName>
    <definedName name="SPRIINP">#REF!</definedName>
    <definedName name="SPRIINP1">#REF!</definedName>
    <definedName name="SPRIINPD">#REF!</definedName>
    <definedName name="SPRING">#REF!</definedName>
    <definedName name="ST98BREF">#REF!</definedName>
    <definedName name="start">#REF!</definedName>
    <definedName name="STAT96REF">#REF!</definedName>
    <definedName name="STAT97REF">[51]Statics!$B$42</definedName>
    <definedName name="STEM">#REF!</definedName>
    <definedName name="STEMINP">#REF!</definedName>
    <definedName name="STEMINP1">#REF!</definedName>
    <definedName name="STEMINPD">#REF!</definedName>
    <definedName name="STRAT">[9]Statics!$A$140</definedName>
    <definedName name="T">#REF!</definedName>
    <definedName name="t78o">[8]Statics!$A$86</definedName>
    <definedName name="Tabla0">#REF!</definedName>
    <definedName name="Tabla1">#REF!</definedName>
    <definedName name="Tabla2">#REF!</definedName>
    <definedName name="Tasas_de_mora__cobertura_y_prima_de_riesgo" localSheetId="0">#REF!</definedName>
    <definedName name="Tasas_de_mora__cobertura_y_prima_de_riesgo" localSheetId="25">#REF!</definedName>
    <definedName name="Tasas_de_mora__cobertura_y_prima_de_riesgo">#REF!</definedName>
    <definedName name="TC">[28]REDEXTERIOR!#REF!</definedName>
    <definedName name="tcompdays">[18]Statics!$G$182</definedName>
    <definedName name="TDAYS">#REF!</definedName>
    <definedName name="tdays_comp1">[1]Statics!$T$165</definedName>
    <definedName name="tdays_comp2">[1]Statics!$T$178</definedName>
    <definedName name="tdays_comp3">[1]Statics!$T$191</definedName>
    <definedName name="tdays_lag1">[1]Statics!$AD$181</definedName>
    <definedName name="tdays_lag2">[1]Statics!$AD$207</definedName>
    <definedName name="tdays_lag3">[1]Statics!$AD$233</definedName>
    <definedName name="tdays_lag4">[1]Statics!$AD$259</definedName>
    <definedName name="tdays_lag5">[1]Statics!$AD$285</definedName>
    <definedName name="tdays_lag6">[1]Statics!$AD$311</definedName>
    <definedName name="tdays96">#REF!</definedName>
    <definedName name="tdays97">#REF!</definedName>
    <definedName name="Tipo_Importe__Rang3" localSheetId="0">#REF!</definedName>
    <definedName name="Tipo_Importe__Rang3" localSheetId="25">#REF!</definedName>
    <definedName name="Tipo_Importe__Rang3">#REF!</definedName>
    <definedName name="TIPO2">[47]Tabla_de_Tipos!$B$6:$N$6</definedName>
    <definedName name="tipos">#REF!</definedName>
    <definedName name="TITLE2">#REF!</definedName>
    <definedName name="todaydte">[52]Data!$A$3</definedName>
    <definedName name="TOT">!$A$265</definedName>
    <definedName name="TOTBAD">#REF!</definedName>
    <definedName name="totexp">#REF!</definedName>
    <definedName name="TOTINP">[53]Total!#REF!</definedName>
    <definedName name="TOTINP1">#N/A</definedName>
    <definedName name="TOTINPD">[53]Total!#REF!</definedName>
    <definedName name="trend">'[54]3'!$A$1:$AX$29</definedName>
    <definedName name="TRIN">#REF!</definedName>
    <definedName name="TRININP">#REF!</definedName>
    <definedName name="TRININP1">#REF!</definedName>
    <definedName name="TRININPD">#REF!</definedName>
    <definedName name="TRINITY">#REF!</definedName>
    <definedName name="TSBA">#REF!</definedName>
    <definedName name="TSBAINP">#REF!</definedName>
    <definedName name="TSBAINP1">#REF!</definedName>
    <definedName name="TSBAINPD">#REF!</definedName>
    <definedName name="UNALINP">#REF!</definedName>
    <definedName name="UNALINP1">#REF!</definedName>
    <definedName name="UNALINPD">#REF!</definedName>
    <definedName name="UNALL">#REF!</definedName>
    <definedName name="unhideall">[23]!unhideall</definedName>
    <definedName name="UnhideSheets">[39]!UnhideSheets</definedName>
    <definedName name="uno">[24]ppto!#REF!</definedName>
    <definedName name="UploadFurnEquip">'[26]NIE Input'!#REF!,'[26]NIE Input'!#REF!</definedName>
    <definedName name="UploadIncentiveComm">'[26]NIE Input'!#REF!,'[26]NIE Input'!#REF!</definedName>
    <definedName name="UploadNetOccupancy">'[26]NIE Input'!#REF!,'[26]NIE Input'!#REF!</definedName>
    <definedName name="UploadOtherExpenses">'[26]NIE Input'!#REF!,'[26]NIE Input'!#REF!</definedName>
    <definedName name="UploadProfessionalServices">'[26]NIE Input'!#REF!,'[26]NIE Input'!#REF!</definedName>
    <definedName name="UploadSalaryBenefit">'[26]NIE Input'!#REF!,'[26]NIE Input'!#REF!,'[26]NIE Input'!#REF!,'[26]NIE Input'!#REF!</definedName>
    <definedName name="vbvnvn">[8]Statics!$A$86</definedName>
    <definedName name="vdd">[8]Statics!$A$19</definedName>
    <definedName name="Version">#REF!</definedName>
    <definedName name="Version_List">#REF!</definedName>
    <definedName name="View">[25]TM1Input!$E$16</definedName>
    <definedName name="View_List">#REF!</definedName>
    <definedName name="VISTA">#REF!</definedName>
    <definedName name="VISTAINP">#REF!</definedName>
    <definedName name="VISTAINP1">#REF!</definedName>
    <definedName name="VISTAINPD">#REF!</definedName>
    <definedName name="whhw">[8]Statics!$A$20</definedName>
    <definedName name="WOOD">#REF!</definedName>
    <definedName name="WOODINP">#REF!</definedName>
    <definedName name="WOODINP1">#REF!</definedName>
    <definedName name="WOODINPD">#REF!</definedName>
    <definedName name="wrn.actbill." hidden="1">{"actbill",#N/A,FALSE,"ACTUAL BILL"}</definedName>
    <definedName name="wrn.Package." hidden="1">{"proc_tot_nums",#N/A,TRUE,"Act Numbers";"summary_proc",#N/A,TRUE,"Blank1";"PlanProc",#N/A,TRUE,"PlanProc";"process graphs",#N/A,TRUE,"graphs&amp;data";"proj_nums",#N/A,TRUE,"Act Numbers";"Internal_Proj",#N/A,TRUE,"Internal Proj.";#N/A,#N/A,TRUE,"Plan ProjProg";"project graphs",#N/A,TRUE,"graphs&amp;data";"mtm_proc",#N/A,TRUE,"MTM Proc";"MTM_proj",#N/A,TRUE,"MTM Proj"}</definedName>
    <definedName name="wrn.Process._.Graphs." hidden="1">{"process graphs",#N/A,FALSE,"graphs&amp;data"}</definedName>
    <definedName name="wrn.Project._.Graphs." hidden="1">{"project graphs",#N/A,FALSE,"graphs&amp;data"}</definedName>
    <definedName name="wrn.testprint." hidden="1">{"test",#N/A,FALSE,"VAR BILL"}</definedName>
    <definedName name="ws">[8]Statics!$A$122</definedName>
    <definedName name="wsbbshsr">[8]Statics!$A$23</definedName>
    <definedName name="WTC">#REF!</definedName>
    <definedName name="WTCINP">#REF!</definedName>
    <definedName name="WTCINP1">#REF!</definedName>
    <definedName name="WTCINPD">#REF!</definedName>
    <definedName name="ww">[8]Statics!$A$123</definedName>
    <definedName name="XXX">#REF!</definedName>
    <definedName name="y">[8]Statics!$E$105:$X$116</definedName>
    <definedName name="Year">[13]TM1Input!$B$21</definedName>
    <definedName name="YearDays">[13]TM1Input!$D$36</definedName>
    <definedName name="YearList">#REF!</definedName>
    <definedName name="YearlyDataSet">#REF!,#REF!,#REF!,#REF!,#REF!,#REF!,#REF!,#REF!</definedName>
    <definedName name="YearlyDataSet2">#REF!,#REF!,#REF!,#REF!,#REF!,#REF!,#REF!,#REF!</definedName>
    <definedName name="YearlyDataSet3">#REF!,#REF!,#REF!,#REF!</definedName>
    <definedName name="yr">[1]Statics!$G$3</definedName>
    <definedName name="yrlink">[1]Statics!$B$121</definedName>
    <definedName name="yrlist">[1]Statics!$A$11:$A$20</definedName>
    <definedName name="YTD">[13]TM1Input!$D$33</definedName>
    <definedName name="YTD__138.6_Var__4.1">"text 13"</definedName>
    <definedName name="YTD_DayCount">#REF!</definedName>
    <definedName name="YTD_DayCount_List">#REF!</definedName>
    <definedName name="ZZZ">#REF!</definedName>
    <definedName name="ZZZ_1.5.1.1.1.4">[55]Listas!$A$8:$A$246</definedName>
    <definedName name="ZZZ_1.5.1.1.1.5.10">[55]Listas!$A$248:$A$250</definedName>
  </definedNames>
  <calcPr calcId="152511"/>
</workbook>
</file>

<file path=xl/calcChain.xml><?xml version="1.0" encoding="utf-8"?>
<calcChain xmlns="http://schemas.openxmlformats.org/spreadsheetml/2006/main">
  <c r="H106" i="14" l="1"/>
  <c r="H107" i="14"/>
  <c r="H103" i="14"/>
  <c r="H104" i="14"/>
  <c r="H105" i="14"/>
  <c r="H105" i="16"/>
  <c r="H107" i="16"/>
  <c r="H103" i="16"/>
  <c r="H106" i="16"/>
  <c r="H104" i="16"/>
  <c r="H103" i="22" l="1"/>
  <c r="H106" i="22"/>
  <c r="H107" i="22"/>
  <c r="H105" i="22"/>
  <c r="H104" i="22"/>
  <c r="H106" i="24"/>
  <c r="H103" i="24"/>
  <c r="H107" i="24"/>
  <c r="H105" i="24"/>
  <c r="H104" i="24"/>
  <c r="H106" i="23"/>
  <c r="H103" i="23"/>
  <c r="H107" i="23"/>
  <c r="H105" i="23"/>
  <c r="H104" i="23"/>
  <c r="H103" i="25"/>
  <c r="H64" i="30" l="1"/>
  <c r="G64" i="30"/>
  <c r="F64" i="30"/>
  <c r="E64" i="30"/>
  <c r="D64" i="30"/>
  <c r="C64" i="30"/>
  <c r="B64" i="30"/>
  <c r="A64" i="30"/>
  <c r="A63" i="30"/>
  <c r="H5" i="10"/>
  <c r="G5" i="10"/>
  <c r="H29" i="15" l="1"/>
  <c r="G29" i="15"/>
  <c r="F29" i="15"/>
  <c r="E29" i="15"/>
  <c r="D29" i="15"/>
  <c r="C29" i="15"/>
  <c r="B29" i="15"/>
  <c r="A29" i="15"/>
  <c r="A30" i="30"/>
  <c r="H30" i="30"/>
  <c r="G30" i="30"/>
  <c r="F30" i="30"/>
  <c r="E30" i="30"/>
  <c r="D30" i="30"/>
  <c r="C30" i="30"/>
  <c r="B30" i="30"/>
  <c r="A29" i="30"/>
  <c r="A62" i="30" l="1"/>
  <c r="A61" i="30"/>
  <c r="A60" i="30"/>
  <c r="A59" i="30"/>
  <c r="A58" i="30"/>
  <c r="A57" i="30"/>
  <c r="A56" i="30"/>
  <c r="A55" i="30"/>
  <c r="A54" i="30"/>
  <c r="A53" i="30"/>
  <c r="A52" i="30"/>
  <c r="A51" i="30"/>
  <c r="A50" i="30"/>
  <c r="A49" i="30"/>
  <c r="A48" i="30"/>
  <c r="A47" i="30"/>
  <c r="A46" i="30"/>
  <c r="A45" i="30"/>
  <c r="A44" i="30"/>
  <c r="A43" i="30"/>
  <c r="A42" i="30"/>
  <c r="A41" i="30"/>
  <c r="A40" i="30"/>
  <c r="H39" i="30"/>
  <c r="G39" i="30"/>
  <c r="F39" i="30"/>
  <c r="E39" i="30"/>
  <c r="D39" i="30"/>
  <c r="C39" i="30"/>
  <c r="B39" i="30"/>
  <c r="A36" i="30"/>
  <c r="A35" i="30"/>
  <c r="A28" i="30"/>
  <c r="A27" i="30"/>
  <c r="A26" i="30"/>
  <c r="A25" i="30"/>
  <c r="A24" i="30"/>
  <c r="A23" i="30"/>
  <c r="A22" i="30"/>
  <c r="A21" i="30"/>
  <c r="A20" i="30"/>
  <c r="A19" i="30"/>
  <c r="A18" i="30"/>
  <c r="A17" i="30"/>
  <c r="A16" i="30"/>
  <c r="A15" i="30"/>
  <c r="A14" i="30"/>
  <c r="A13" i="30"/>
  <c r="A12" i="30"/>
  <c r="A11" i="30"/>
  <c r="A10" i="30"/>
  <c r="A9" i="30"/>
  <c r="A8" i="30"/>
  <c r="A7" i="30"/>
  <c r="A6" i="30"/>
  <c r="H5" i="30"/>
  <c r="G5" i="30"/>
  <c r="F5" i="30"/>
  <c r="E5" i="30"/>
  <c r="D5" i="30"/>
  <c r="C5" i="30"/>
  <c r="B5" i="30"/>
  <c r="A2" i="30"/>
  <c r="A38" i="29"/>
  <c r="A36" i="29"/>
  <c r="A35" i="29"/>
  <c r="A34" i="29"/>
  <c r="A33" i="29"/>
  <c r="A31" i="29"/>
  <c r="A30" i="29"/>
  <c r="A29" i="29"/>
  <c r="A28" i="29"/>
  <c r="A27" i="29"/>
  <c r="A26" i="29"/>
  <c r="A25" i="29"/>
  <c r="A24" i="29"/>
  <c r="A23" i="29"/>
  <c r="A22" i="29"/>
  <c r="A20" i="29"/>
  <c r="A19" i="29"/>
  <c r="A18" i="29"/>
  <c r="A17" i="29"/>
  <c r="A16" i="29"/>
  <c r="A15" i="29"/>
  <c r="A14" i="29"/>
  <c r="A13" i="29"/>
  <c r="A12" i="29"/>
  <c r="A11" i="29"/>
  <c r="A10" i="29"/>
  <c r="A9" i="29"/>
  <c r="A8" i="29"/>
  <c r="A7" i="29"/>
  <c r="A6" i="29"/>
  <c r="A2" i="29"/>
  <c r="A55" i="28"/>
  <c r="A54" i="28"/>
  <c r="A53" i="28"/>
  <c r="A52" i="28"/>
  <c r="A51" i="28"/>
  <c r="A50" i="28"/>
  <c r="A49" i="28"/>
  <c r="A47" i="28"/>
  <c r="A46" i="28"/>
  <c r="A44" i="28"/>
  <c r="A43" i="28"/>
  <c r="A42" i="28"/>
  <c r="A41" i="28"/>
  <c r="A40" i="28"/>
  <c r="A39" i="28"/>
  <c r="A38" i="28"/>
  <c r="A37" i="28"/>
  <c r="A36" i="28"/>
  <c r="A35" i="28"/>
  <c r="A34" i="28"/>
  <c r="A33" i="28"/>
  <c r="A32" i="28"/>
  <c r="A31" i="28"/>
  <c r="A30" i="28"/>
  <c r="A28" i="28"/>
  <c r="A27" i="28"/>
  <c r="A25" i="28"/>
  <c r="A24" i="28"/>
  <c r="A23" i="28"/>
  <c r="A22" i="28"/>
  <c r="A21" i="28"/>
  <c r="A20" i="28"/>
  <c r="A19" i="28"/>
  <c r="A18" i="28"/>
  <c r="A17" i="28"/>
  <c r="A16" i="28"/>
  <c r="A15" i="28"/>
  <c r="A14" i="28"/>
  <c r="A13" i="28"/>
  <c r="A12" i="28"/>
  <c r="A11" i="28"/>
  <c r="A10" i="28"/>
  <c r="A9" i="28"/>
  <c r="A8" i="28"/>
  <c r="H7" i="28"/>
  <c r="G7" i="28"/>
  <c r="F7" i="28"/>
  <c r="E7" i="28"/>
  <c r="D7" i="28"/>
  <c r="C7" i="28"/>
  <c r="B7" i="28"/>
  <c r="A4" i="28"/>
  <c r="A3" i="28"/>
  <c r="A44" i="27"/>
  <c r="A43" i="27"/>
  <c r="A42" i="27"/>
  <c r="A41" i="27"/>
  <c r="A40" i="27"/>
  <c r="A39" i="27"/>
  <c r="A38" i="27"/>
  <c r="A37" i="27"/>
  <c r="A36" i="27"/>
  <c r="A35" i="27"/>
  <c r="A34" i="27"/>
  <c r="A33" i="27"/>
  <c r="A32" i="27"/>
  <c r="A31" i="27"/>
  <c r="A30" i="27"/>
  <c r="A28" i="27"/>
  <c r="A27" i="27"/>
  <c r="A25" i="27"/>
  <c r="A24" i="27"/>
  <c r="A23" i="27"/>
  <c r="A22" i="27"/>
  <c r="A21" i="27"/>
  <c r="A20" i="27"/>
  <c r="A19" i="27"/>
  <c r="A18" i="27"/>
  <c r="A17" i="27"/>
  <c r="A16" i="27"/>
  <c r="A15" i="27"/>
  <c r="A14" i="27"/>
  <c r="A13" i="27"/>
  <c r="A12" i="27"/>
  <c r="A11" i="27"/>
  <c r="A10" i="27"/>
  <c r="A9" i="27"/>
  <c r="A8" i="27"/>
  <c r="H7" i="27"/>
  <c r="G7" i="27"/>
  <c r="F7" i="27"/>
  <c r="E7" i="27"/>
  <c r="D7" i="27"/>
  <c r="C7" i="27"/>
  <c r="B7" i="27"/>
  <c r="A4" i="27"/>
  <c r="A3" i="27"/>
  <c r="A23" i="26"/>
  <c r="A22" i="26"/>
  <c r="A21" i="26"/>
  <c r="A20" i="26"/>
  <c r="A19" i="26"/>
  <c r="A18" i="26"/>
  <c r="A17" i="26"/>
  <c r="A16" i="26"/>
  <c r="A15" i="26"/>
  <c r="A14" i="26"/>
  <c r="A13" i="26"/>
  <c r="A12" i="26"/>
  <c r="A11" i="26"/>
  <c r="A10" i="26"/>
  <c r="A9" i="26"/>
  <c r="A8" i="26"/>
  <c r="A7" i="26"/>
  <c r="A6" i="26"/>
  <c r="A5" i="26"/>
  <c r="A2" i="26"/>
  <c r="E4" i="26"/>
  <c r="D4" i="26"/>
  <c r="C4" i="26"/>
  <c r="B4" i="26"/>
  <c r="A163" i="25"/>
  <c r="A162" i="25"/>
  <c r="A161" i="25"/>
  <c r="A160" i="25"/>
  <c r="A159" i="25"/>
  <c r="A158" i="25"/>
  <c r="A157" i="25"/>
  <c r="A155" i="25"/>
  <c r="A154" i="25"/>
  <c r="A152" i="25"/>
  <c r="A151" i="25"/>
  <c r="A150" i="25"/>
  <c r="A149" i="25"/>
  <c r="A148" i="25"/>
  <c r="A147" i="25"/>
  <c r="A146" i="25"/>
  <c r="A145" i="25"/>
  <c r="A144" i="25"/>
  <c r="A143" i="25"/>
  <c r="A142" i="25"/>
  <c r="A141" i="25"/>
  <c r="A139" i="25"/>
  <c r="A138" i="25"/>
  <c r="A136" i="25"/>
  <c r="A135" i="25"/>
  <c r="A133" i="25"/>
  <c r="A132" i="25"/>
  <c r="A131" i="25"/>
  <c r="A130" i="25"/>
  <c r="A129" i="25"/>
  <c r="A128" i="25"/>
  <c r="A127" i="25"/>
  <c r="A126" i="25"/>
  <c r="A125" i="25"/>
  <c r="A124" i="25"/>
  <c r="A123" i="25"/>
  <c r="A122" i="25"/>
  <c r="A121" i="25"/>
  <c r="A120" i="25"/>
  <c r="A119" i="25"/>
  <c r="A118" i="25"/>
  <c r="A117" i="25"/>
  <c r="A116" i="25"/>
  <c r="H115" i="25"/>
  <c r="G115" i="25"/>
  <c r="F115" i="25"/>
  <c r="E115" i="25"/>
  <c r="D115" i="25"/>
  <c r="C115" i="25"/>
  <c r="B115" i="25"/>
  <c r="A112" i="25"/>
  <c r="A111" i="25"/>
  <c r="A109" i="25"/>
  <c r="A108" i="25"/>
  <c r="A107" i="25"/>
  <c r="A106" i="25"/>
  <c r="A105" i="25"/>
  <c r="A104" i="25"/>
  <c r="A103" i="25"/>
  <c r="A101" i="25"/>
  <c r="A100" i="25"/>
  <c r="A98" i="25"/>
  <c r="A97" i="25"/>
  <c r="A96" i="25"/>
  <c r="A95" i="25"/>
  <c r="A94" i="25"/>
  <c r="A93" i="25"/>
  <c r="A92" i="25"/>
  <c r="A91" i="25"/>
  <c r="A90" i="25"/>
  <c r="A89" i="25"/>
  <c r="A88" i="25"/>
  <c r="A87" i="25"/>
  <c r="A86" i="25"/>
  <c r="A85" i="25"/>
  <c r="A84" i="25"/>
  <c r="A82" i="25"/>
  <c r="A81" i="25"/>
  <c r="A79" i="25"/>
  <c r="A78" i="25"/>
  <c r="A77" i="25"/>
  <c r="A76" i="25"/>
  <c r="A75" i="25"/>
  <c r="A74" i="25"/>
  <c r="A73" i="25"/>
  <c r="A72" i="25"/>
  <c r="A71" i="25"/>
  <c r="A70" i="25"/>
  <c r="A69" i="25"/>
  <c r="A68" i="25"/>
  <c r="A67" i="25"/>
  <c r="A66" i="25"/>
  <c r="A65" i="25"/>
  <c r="A64" i="25"/>
  <c r="A63" i="25"/>
  <c r="A62" i="25"/>
  <c r="H61" i="25"/>
  <c r="G61" i="25"/>
  <c r="F61" i="25"/>
  <c r="E61" i="25"/>
  <c r="D61" i="25"/>
  <c r="C61" i="25"/>
  <c r="B61" i="25"/>
  <c r="A58" i="25"/>
  <c r="A57" i="25"/>
  <c r="A55" i="25"/>
  <c r="A54" i="25"/>
  <c r="A53" i="25"/>
  <c r="A52" i="25"/>
  <c r="A51" i="25"/>
  <c r="A50" i="25"/>
  <c r="A49" i="25"/>
  <c r="A47" i="25"/>
  <c r="A46" i="25"/>
  <c r="A44" i="25"/>
  <c r="A43" i="25"/>
  <c r="A42" i="25"/>
  <c r="A41" i="25"/>
  <c r="A40" i="25"/>
  <c r="A39" i="25"/>
  <c r="A38" i="25"/>
  <c r="A37" i="25"/>
  <c r="A36" i="25"/>
  <c r="A35" i="25"/>
  <c r="A34" i="25"/>
  <c r="A33" i="25"/>
  <c r="A32" i="25"/>
  <c r="A31" i="25"/>
  <c r="A30" i="25"/>
  <c r="A28" i="25"/>
  <c r="A27" i="25"/>
  <c r="A25" i="25"/>
  <c r="A24" i="25"/>
  <c r="A23" i="25"/>
  <c r="A22" i="25"/>
  <c r="A21" i="25"/>
  <c r="A20" i="25"/>
  <c r="A19" i="25"/>
  <c r="A18" i="25"/>
  <c r="A17" i="25"/>
  <c r="A16" i="25"/>
  <c r="A15" i="25"/>
  <c r="A14" i="25"/>
  <c r="A13" i="25"/>
  <c r="A12" i="25"/>
  <c r="A11" i="25"/>
  <c r="A10" i="25"/>
  <c r="A9" i="25"/>
  <c r="A8" i="25"/>
  <c r="H7" i="25"/>
  <c r="G7" i="25"/>
  <c r="F7" i="25"/>
  <c r="E7" i="25"/>
  <c r="D7" i="25"/>
  <c r="C7" i="25"/>
  <c r="B7" i="25"/>
  <c r="A4" i="25"/>
  <c r="A3" i="25"/>
  <c r="A163" i="24"/>
  <c r="A162" i="24"/>
  <c r="A161" i="24"/>
  <c r="A160" i="24"/>
  <c r="A159" i="24"/>
  <c r="A158" i="24"/>
  <c r="A157" i="24"/>
  <c r="A155" i="24"/>
  <c r="A154" i="24"/>
  <c r="A151" i="24"/>
  <c r="A150" i="24"/>
  <c r="A149" i="24"/>
  <c r="A148" i="24"/>
  <c r="A147" i="24"/>
  <c r="A146" i="24"/>
  <c r="A145" i="24"/>
  <c r="A144" i="24"/>
  <c r="A143" i="24"/>
  <c r="A142" i="24"/>
  <c r="A141" i="24"/>
  <c r="A140" i="24"/>
  <c r="A139" i="24"/>
  <c r="A137" i="24"/>
  <c r="A136" i="24"/>
  <c r="A133" i="24"/>
  <c r="A132" i="24"/>
  <c r="A131" i="24"/>
  <c r="A130" i="24"/>
  <c r="A129" i="24"/>
  <c r="A128" i="24"/>
  <c r="A127" i="24"/>
  <c r="A126" i="24"/>
  <c r="A125" i="24"/>
  <c r="A124" i="24"/>
  <c r="A123" i="24"/>
  <c r="A122" i="24"/>
  <c r="A121" i="24"/>
  <c r="A120" i="24"/>
  <c r="A119" i="24"/>
  <c r="A118" i="24"/>
  <c r="A117" i="24"/>
  <c r="A116" i="24"/>
  <c r="H115" i="24"/>
  <c r="G115" i="24"/>
  <c r="F115" i="24"/>
  <c r="E115" i="24"/>
  <c r="D115" i="24"/>
  <c r="C115" i="24"/>
  <c r="B115" i="24"/>
  <c r="A112" i="24"/>
  <c r="A111" i="24"/>
  <c r="A109" i="24"/>
  <c r="A108" i="24"/>
  <c r="A107" i="24"/>
  <c r="A106" i="24"/>
  <c r="A105" i="24"/>
  <c r="A104" i="24"/>
  <c r="A103" i="24"/>
  <c r="A101" i="24"/>
  <c r="A100" i="24"/>
  <c r="A97" i="24"/>
  <c r="A96" i="24"/>
  <c r="A95" i="24"/>
  <c r="A94" i="24"/>
  <c r="A93" i="24"/>
  <c r="A92" i="24"/>
  <c r="A91" i="24"/>
  <c r="A90" i="24"/>
  <c r="A89" i="24"/>
  <c r="A88" i="24"/>
  <c r="A87" i="24"/>
  <c r="A86" i="24"/>
  <c r="A85" i="24"/>
  <c r="A83" i="24"/>
  <c r="A82" i="24"/>
  <c r="A79" i="24"/>
  <c r="A78" i="24"/>
  <c r="A77" i="24"/>
  <c r="A76" i="24"/>
  <c r="A75" i="24"/>
  <c r="A74" i="24"/>
  <c r="A73" i="24"/>
  <c r="A72" i="24"/>
  <c r="A71" i="24"/>
  <c r="A70" i="24"/>
  <c r="A69" i="24"/>
  <c r="A68" i="24"/>
  <c r="A67" i="24"/>
  <c r="A66" i="24"/>
  <c r="A65" i="24"/>
  <c r="A64" i="24"/>
  <c r="A63" i="24"/>
  <c r="A62" i="24"/>
  <c r="H61" i="24"/>
  <c r="G61" i="24"/>
  <c r="F61" i="24"/>
  <c r="E61" i="24"/>
  <c r="D61" i="24"/>
  <c r="C61" i="24"/>
  <c r="B61" i="24"/>
  <c r="A58" i="24"/>
  <c r="A57" i="24"/>
  <c r="A55" i="24"/>
  <c r="A54" i="24"/>
  <c r="A53" i="24"/>
  <c r="A52" i="24"/>
  <c r="A51" i="24"/>
  <c r="A50" i="24"/>
  <c r="A49" i="24"/>
  <c r="A47" i="24"/>
  <c r="A46" i="24"/>
  <c r="A43" i="24"/>
  <c r="A42" i="24"/>
  <c r="A41" i="24"/>
  <c r="A40" i="24"/>
  <c r="A39" i="24"/>
  <c r="A38" i="24"/>
  <c r="A37" i="24"/>
  <c r="A36" i="24"/>
  <c r="A35" i="24"/>
  <c r="A34" i="24"/>
  <c r="A33" i="24"/>
  <c r="A32" i="24"/>
  <c r="A31" i="24"/>
  <c r="A29" i="24"/>
  <c r="A28" i="24"/>
  <c r="A25" i="24"/>
  <c r="A24" i="24"/>
  <c r="A23" i="24"/>
  <c r="A22" i="24"/>
  <c r="A21" i="24"/>
  <c r="A20" i="24"/>
  <c r="A19" i="24"/>
  <c r="A18" i="24"/>
  <c r="A17" i="24"/>
  <c r="A16" i="24"/>
  <c r="A15" i="24"/>
  <c r="A14" i="24"/>
  <c r="A13" i="24"/>
  <c r="A12" i="24"/>
  <c r="A11" i="24"/>
  <c r="A10" i="24"/>
  <c r="A9" i="24"/>
  <c r="A8" i="24"/>
  <c r="H7" i="24"/>
  <c r="G7" i="24"/>
  <c r="F7" i="24"/>
  <c r="E7" i="24"/>
  <c r="D7" i="24"/>
  <c r="C7" i="24"/>
  <c r="B7" i="24"/>
  <c r="A4" i="24"/>
  <c r="A3" i="24"/>
  <c r="A163" i="23"/>
  <c r="A162" i="23"/>
  <c r="A161" i="23"/>
  <c r="A160" i="23"/>
  <c r="A159" i="23"/>
  <c r="A158" i="23"/>
  <c r="A157" i="23"/>
  <c r="A155" i="23"/>
  <c r="A154" i="23"/>
  <c r="A151" i="23"/>
  <c r="A150" i="23"/>
  <c r="A149" i="23"/>
  <c r="A148" i="23"/>
  <c r="A147" i="23"/>
  <c r="A146" i="23"/>
  <c r="A145" i="23"/>
  <c r="A144" i="23"/>
  <c r="A143" i="23"/>
  <c r="A142" i="23"/>
  <c r="A141" i="23"/>
  <c r="A140" i="23"/>
  <c r="A139" i="23"/>
  <c r="A137" i="23"/>
  <c r="A136" i="23"/>
  <c r="A133" i="23"/>
  <c r="A132" i="23"/>
  <c r="A131" i="23"/>
  <c r="A130" i="23"/>
  <c r="A129" i="23"/>
  <c r="A128" i="23"/>
  <c r="A127" i="23"/>
  <c r="A126" i="23"/>
  <c r="A125" i="23"/>
  <c r="A124" i="23"/>
  <c r="A123" i="23"/>
  <c r="A122" i="23"/>
  <c r="A121" i="23"/>
  <c r="A120" i="23"/>
  <c r="A119" i="23"/>
  <c r="A118" i="23"/>
  <c r="A117" i="23"/>
  <c r="A116" i="23"/>
  <c r="H115" i="23"/>
  <c r="G115" i="23"/>
  <c r="F115" i="23"/>
  <c r="E115" i="23"/>
  <c r="D115" i="23"/>
  <c r="C115" i="23"/>
  <c r="B115" i="23"/>
  <c r="A112" i="23"/>
  <c r="A111" i="23"/>
  <c r="A109" i="23"/>
  <c r="A108" i="23"/>
  <c r="A107" i="23"/>
  <c r="A106" i="23"/>
  <c r="A105" i="23"/>
  <c r="A104" i="23"/>
  <c r="A103" i="23"/>
  <c r="A101" i="23"/>
  <c r="A100" i="23"/>
  <c r="A97" i="23"/>
  <c r="A96" i="23"/>
  <c r="A95" i="23"/>
  <c r="A94" i="23"/>
  <c r="A93" i="23"/>
  <c r="A92" i="23"/>
  <c r="A91" i="23"/>
  <c r="A90" i="23"/>
  <c r="A89" i="23"/>
  <c r="A88" i="23"/>
  <c r="A87" i="23"/>
  <c r="A86" i="23"/>
  <c r="A85" i="23"/>
  <c r="A83" i="23"/>
  <c r="A82" i="23"/>
  <c r="A79" i="23"/>
  <c r="A78" i="23"/>
  <c r="A77" i="23"/>
  <c r="A76" i="23"/>
  <c r="A75" i="23"/>
  <c r="A74" i="23"/>
  <c r="A73" i="23"/>
  <c r="A72" i="23"/>
  <c r="A71" i="23"/>
  <c r="A70" i="23"/>
  <c r="A69" i="23"/>
  <c r="A68" i="23"/>
  <c r="A67" i="23"/>
  <c r="A66" i="23"/>
  <c r="A65" i="23"/>
  <c r="A64" i="23"/>
  <c r="A63" i="23"/>
  <c r="A62" i="23"/>
  <c r="H61" i="23"/>
  <c r="G61" i="23"/>
  <c r="F61" i="23"/>
  <c r="E61" i="23"/>
  <c r="D61" i="23"/>
  <c r="C61" i="23"/>
  <c r="B61" i="23"/>
  <c r="A58" i="23"/>
  <c r="A57" i="23"/>
  <c r="A55" i="23"/>
  <c r="A54" i="23"/>
  <c r="A53" i="23"/>
  <c r="A52" i="23"/>
  <c r="A51" i="23"/>
  <c r="A50" i="23"/>
  <c r="A49" i="23"/>
  <c r="A47" i="23"/>
  <c r="A46" i="23"/>
  <c r="A43" i="23"/>
  <c r="A42" i="23"/>
  <c r="A41" i="23"/>
  <c r="A40" i="23"/>
  <c r="A39" i="23"/>
  <c r="A38" i="23"/>
  <c r="A37" i="23"/>
  <c r="A36" i="23"/>
  <c r="A35" i="23"/>
  <c r="A34" i="23"/>
  <c r="A33" i="23"/>
  <c r="A32" i="23"/>
  <c r="A31" i="23"/>
  <c r="A29" i="23"/>
  <c r="A28" i="23"/>
  <c r="A25" i="23"/>
  <c r="A24" i="23"/>
  <c r="A23" i="23"/>
  <c r="A22" i="23"/>
  <c r="A21" i="23"/>
  <c r="A20" i="23"/>
  <c r="A19" i="23"/>
  <c r="A18" i="23"/>
  <c r="A17" i="23"/>
  <c r="A16" i="23"/>
  <c r="A15" i="23"/>
  <c r="A14" i="23"/>
  <c r="A13" i="23"/>
  <c r="A12" i="23"/>
  <c r="A11" i="23"/>
  <c r="A10" i="23"/>
  <c r="A9" i="23"/>
  <c r="A8" i="23"/>
  <c r="H7" i="23"/>
  <c r="G7" i="23"/>
  <c r="F7" i="23"/>
  <c r="E7" i="23"/>
  <c r="D7" i="23"/>
  <c r="C7" i="23"/>
  <c r="B7" i="23"/>
  <c r="A4" i="23"/>
  <c r="A3" i="23"/>
  <c r="A109" i="22"/>
  <c r="A108" i="22"/>
  <c r="A107" i="22"/>
  <c r="A106" i="22"/>
  <c r="A105" i="22"/>
  <c r="A104" i="22"/>
  <c r="A103" i="22"/>
  <c r="A101" i="22"/>
  <c r="A100" i="22"/>
  <c r="A97" i="22"/>
  <c r="A96" i="22"/>
  <c r="A95" i="22"/>
  <c r="A94" i="22"/>
  <c r="A93" i="22"/>
  <c r="A92" i="22"/>
  <c r="A91" i="22"/>
  <c r="A90" i="22"/>
  <c r="A89" i="22"/>
  <c r="A88" i="22"/>
  <c r="A87" i="22"/>
  <c r="A86" i="22"/>
  <c r="A85" i="22"/>
  <c r="A83" i="22"/>
  <c r="A82" i="22"/>
  <c r="A79" i="22"/>
  <c r="A78" i="22"/>
  <c r="A77" i="22"/>
  <c r="A76" i="22"/>
  <c r="A75" i="22"/>
  <c r="A74" i="22"/>
  <c r="A73" i="22"/>
  <c r="A72" i="22"/>
  <c r="A71" i="22"/>
  <c r="A70" i="22"/>
  <c r="A69" i="22"/>
  <c r="A68" i="22"/>
  <c r="A67" i="22"/>
  <c r="A66" i="22"/>
  <c r="A65" i="22"/>
  <c r="A64" i="22"/>
  <c r="A63" i="22"/>
  <c r="A62" i="22"/>
  <c r="H61" i="22"/>
  <c r="G61" i="22"/>
  <c r="F61" i="22"/>
  <c r="E61" i="22"/>
  <c r="D61" i="22"/>
  <c r="C61" i="22"/>
  <c r="B61" i="22"/>
  <c r="A58" i="22"/>
  <c r="A57" i="22"/>
  <c r="A55" i="22"/>
  <c r="A54" i="22"/>
  <c r="A53" i="22"/>
  <c r="A52" i="22"/>
  <c r="A51" i="22"/>
  <c r="A50" i="22"/>
  <c r="A49" i="22"/>
  <c r="A47" i="22"/>
  <c r="A46" i="22"/>
  <c r="A43" i="22"/>
  <c r="A42" i="22"/>
  <c r="A41" i="22"/>
  <c r="A40" i="22"/>
  <c r="A39" i="22"/>
  <c r="A38" i="22"/>
  <c r="A37" i="22"/>
  <c r="A36" i="22"/>
  <c r="A35" i="22"/>
  <c r="A34" i="22"/>
  <c r="A33" i="22"/>
  <c r="A32" i="22"/>
  <c r="A31" i="22"/>
  <c r="A29" i="22"/>
  <c r="A28" i="22"/>
  <c r="A25" i="22"/>
  <c r="A24" i="22"/>
  <c r="A23" i="22"/>
  <c r="A22" i="22"/>
  <c r="A21" i="22"/>
  <c r="A20" i="22"/>
  <c r="A19" i="22"/>
  <c r="A18" i="22"/>
  <c r="A17" i="22"/>
  <c r="A16" i="22"/>
  <c r="A15" i="22"/>
  <c r="A14" i="22"/>
  <c r="A13" i="22"/>
  <c r="A12" i="22"/>
  <c r="A11" i="22"/>
  <c r="A10" i="22"/>
  <c r="A9" i="22"/>
  <c r="A8" i="22"/>
  <c r="H7" i="22"/>
  <c r="G7" i="22"/>
  <c r="F7" i="22"/>
  <c r="E7" i="22"/>
  <c r="D7" i="22"/>
  <c r="C7" i="22"/>
  <c r="B7" i="22"/>
  <c r="A4" i="22"/>
  <c r="A3" i="22"/>
  <c r="A109" i="16"/>
  <c r="A108" i="16"/>
  <c r="A107" i="16"/>
  <c r="A106" i="16"/>
  <c r="A105" i="16"/>
  <c r="A104" i="16"/>
  <c r="A103" i="16"/>
  <c r="A101" i="16"/>
  <c r="A100" i="16"/>
  <c r="A98" i="16"/>
  <c r="A97" i="16"/>
  <c r="A96" i="16"/>
  <c r="A95" i="16"/>
  <c r="A94" i="16"/>
  <c r="A93" i="16"/>
  <c r="A92" i="16"/>
  <c r="A91" i="16"/>
  <c r="A90" i="16"/>
  <c r="A89" i="16"/>
  <c r="A88" i="16"/>
  <c r="A87" i="16"/>
  <c r="A86" i="16"/>
  <c r="A85" i="16"/>
  <c r="A84" i="16"/>
  <c r="A82" i="16"/>
  <c r="A81" i="16"/>
  <c r="A79" i="16"/>
  <c r="A78" i="16"/>
  <c r="A77" i="16"/>
  <c r="A76" i="16"/>
  <c r="A75" i="16"/>
  <c r="A74" i="16"/>
  <c r="A73" i="16"/>
  <c r="A72" i="16"/>
  <c r="A71" i="16"/>
  <c r="A70" i="16"/>
  <c r="A69" i="16"/>
  <c r="A68" i="16"/>
  <c r="A67" i="16"/>
  <c r="A66" i="16"/>
  <c r="A65" i="16"/>
  <c r="A64" i="16"/>
  <c r="A63" i="16"/>
  <c r="A62" i="16"/>
  <c r="H61" i="16"/>
  <c r="G61" i="16"/>
  <c r="F61" i="16"/>
  <c r="E61" i="16"/>
  <c r="D61" i="16"/>
  <c r="C61" i="16"/>
  <c r="B61" i="16"/>
  <c r="A58" i="16"/>
  <c r="A57" i="16"/>
  <c r="A55" i="16"/>
  <c r="A54" i="16"/>
  <c r="A53" i="16"/>
  <c r="A52" i="16"/>
  <c r="A51" i="16"/>
  <c r="A50" i="16"/>
  <c r="A49" i="16"/>
  <c r="A47" i="16"/>
  <c r="A46" i="16"/>
  <c r="A44" i="16"/>
  <c r="A43" i="16"/>
  <c r="A42" i="16"/>
  <c r="A41" i="16"/>
  <c r="A40" i="16"/>
  <c r="A39" i="16"/>
  <c r="A38" i="16"/>
  <c r="A37" i="16"/>
  <c r="A36" i="16"/>
  <c r="A35" i="16"/>
  <c r="A34" i="16"/>
  <c r="A33" i="16"/>
  <c r="A32" i="16"/>
  <c r="A31" i="16"/>
  <c r="A30" i="16"/>
  <c r="A28" i="16"/>
  <c r="A27" i="16"/>
  <c r="A25" i="16"/>
  <c r="A24" i="16"/>
  <c r="A23" i="16"/>
  <c r="A22" i="16"/>
  <c r="A21" i="16"/>
  <c r="A20" i="16"/>
  <c r="A19" i="16"/>
  <c r="A18" i="16"/>
  <c r="A17" i="16"/>
  <c r="A16" i="16"/>
  <c r="A15" i="16"/>
  <c r="A14" i="16"/>
  <c r="A13" i="16"/>
  <c r="A12" i="16"/>
  <c r="A11" i="16"/>
  <c r="A10" i="16"/>
  <c r="A9" i="16"/>
  <c r="A8" i="16"/>
  <c r="H7" i="16"/>
  <c r="G7" i="16"/>
  <c r="F7" i="16"/>
  <c r="E7" i="16"/>
  <c r="D7" i="16"/>
  <c r="C7" i="16"/>
  <c r="B7" i="16"/>
  <c r="A4" i="16"/>
  <c r="A3" i="16"/>
  <c r="A49" i="15"/>
  <c r="A48" i="15"/>
  <c r="A47" i="15"/>
  <c r="A46" i="15"/>
  <c r="A45" i="15"/>
  <c r="A44" i="15"/>
  <c r="A43" i="15"/>
  <c r="A42" i="15"/>
  <c r="A41" i="15"/>
  <c r="A40" i="15"/>
  <c r="A39" i="15"/>
  <c r="A38" i="15"/>
  <c r="A37" i="15"/>
  <c r="A36" i="15"/>
  <c r="A35" i="15"/>
  <c r="A34" i="15"/>
  <c r="A32" i="15"/>
  <c r="A31" i="15"/>
  <c r="A28" i="15"/>
  <c r="A27" i="15"/>
  <c r="A26" i="15"/>
  <c r="A25" i="15"/>
  <c r="A22" i="15"/>
  <c r="A24" i="15"/>
  <c r="A23" i="15"/>
  <c r="A21" i="15"/>
  <c r="A20" i="15"/>
  <c r="A19" i="15"/>
  <c r="A18" i="15"/>
  <c r="A17" i="15"/>
  <c r="A16" i="15"/>
  <c r="A15" i="15"/>
  <c r="A14" i="15"/>
  <c r="A13" i="15"/>
  <c r="A12" i="15"/>
  <c r="A11" i="15"/>
  <c r="A10" i="15"/>
  <c r="A9" i="15"/>
  <c r="A8" i="15"/>
  <c r="H7" i="15"/>
  <c r="G7" i="15"/>
  <c r="F7" i="15"/>
  <c r="E7" i="15"/>
  <c r="D7" i="15"/>
  <c r="C7" i="15"/>
  <c r="B7" i="15"/>
  <c r="A4" i="15"/>
  <c r="A3" i="15"/>
  <c r="A109" i="14"/>
  <c r="A108" i="14"/>
  <c r="A107" i="14"/>
  <c r="A106" i="14"/>
  <c r="A105" i="14"/>
  <c r="A104" i="14"/>
  <c r="A103" i="14"/>
  <c r="A101" i="14"/>
  <c r="A100" i="14"/>
  <c r="A98" i="14"/>
  <c r="A97" i="14"/>
  <c r="A96" i="14"/>
  <c r="A95" i="14"/>
  <c r="A94" i="14"/>
  <c r="A93" i="14"/>
  <c r="A92" i="14"/>
  <c r="A91" i="14"/>
  <c r="A90" i="14"/>
  <c r="A89" i="14"/>
  <c r="A88" i="14"/>
  <c r="A87" i="14"/>
  <c r="A86" i="14"/>
  <c r="A85" i="14"/>
  <c r="A84" i="14"/>
  <c r="A82" i="14"/>
  <c r="A81" i="14"/>
  <c r="A79" i="14"/>
  <c r="A78" i="14"/>
  <c r="A77" i="14"/>
  <c r="A76" i="14"/>
  <c r="A75" i="14"/>
  <c r="A74" i="14"/>
  <c r="A73" i="14"/>
  <c r="A72" i="14"/>
  <c r="A71" i="14"/>
  <c r="A70" i="14"/>
  <c r="A69" i="14"/>
  <c r="A68" i="14"/>
  <c r="A67" i="14"/>
  <c r="A66" i="14"/>
  <c r="A65" i="14"/>
  <c r="A64" i="14"/>
  <c r="A63" i="14"/>
  <c r="A62" i="14"/>
  <c r="H61" i="14"/>
  <c r="G61" i="14"/>
  <c r="F61" i="14"/>
  <c r="E61" i="14"/>
  <c r="D61" i="14"/>
  <c r="C61" i="14"/>
  <c r="B61" i="14"/>
  <c r="A58" i="14"/>
  <c r="A57" i="14"/>
  <c r="A55" i="14"/>
  <c r="A54" i="14"/>
  <c r="A53" i="14"/>
  <c r="A52" i="14"/>
  <c r="A51" i="14"/>
  <c r="A50" i="14"/>
  <c r="A49" i="14"/>
  <c r="A47" i="14"/>
  <c r="A46" i="14"/>
  <c r="A44" i="14"/>
  <c r="A43" i="14"/>
  <c r="A42" i="14"/>
  <c r="A41" i="14"/>
  <c r="A40" i="14"/>
  <c r="A39" i="14"/>
  <c r="A38" i="14"/>
  <c r="A37" i="14"/>
  <c r="A36" i="14"/>
  <c r="A35" i="14"/>
  <c r="A34" i="14"/>
  <c r="A33" i="14"/>
  <c r="A32" i="14"/>
  <c r="A31" i="14"/>
  <c r="A30" i="14"/>
  <c r="A28" i="14"/>
  <c r="A27" i="14"/>
  <c r="A25" i="14"/>
  <c r="A24" i="14"/>
  <c r="A23" i="14"/>
  <c r="A22" i="14"/>
  <c r="A21" i="14"/>
  <c r="A20" i="14"/>
  <c r="A19" i="14"/>
  <c r="A18" i="14"/>
  <c r="A17" i="14"/>
  <c r="A16" i="14"/>
  <c r="A15" i="14"/>
  <c r="A14" i="14"/>
  <c r="A13" i="14"/>
  <c r="A12" i="14"/>
  <c r="A11" i="14"/>
  <c r="A10" i="14"/>
  <c r="A9" i="14"/>
  <c r="A8" i="14"/>
  <c r="H7" i="14"/>
  <c r="G7" i="14"/>
  <c r="F7" i="14"/>
  <c r="E7" i="14"/>
  <c r="D7" i="14"/>
  <c r="C7" i="14"/>
  <c r="B7" i="14"/>
  <c r="A4" i="14"/>
  <c r="A3" i="14"/>
  <c r="A19" i="13"/>
  <c r="A17" i="13"/>
  <c r="A15" i="13"/>
  <c r="A13" i="13"/>
  <c r="A11" i="13"/>
  <c r="A9" i="13"/>
  <c r="A7" i="13"/>
  <c r="A5" i="13"/>
  <c r="A2" i="13"/>
  <c r="A53" i="12"/>
  <c r="A51" i="12"/>
  <c r="A49" i="12"/>
  <c r="A47" i="12"/>
  <c r="A45" i="12"/>
  <c r="A43" i="12"/>
  <c r="A40" i="12"/>
  <c r="A39" i="12"/>
  <c r="A36" i="12"/>
  <c r="A34" i="12"/>
  <c r="A32" i="12"/>
  <c r="A30" i="12"/>
  <c r="A28" i="12"/>
  <c r="A26" i="12"/>
  <c r="A24" i="12"/>
  <c r="A21" i="12"/>
  <c r="A20" i="12"/>
  <c r="A17" i="12"/>
  <c r="A15" i="12"/>
  <c r="A13" i="12"/>
  <c r="A11" i="12"/>
  <c r="A9" i="12"/>
  <c r="A7" i="12"/>
  <c r="A5" i="12"/>
  <c r="A2" i="12"/>
  <c r="A56" i="11"/>
  <c r="A55" i="11"/>
  <c r="A54" i="11"/>
  <c r="A53" i="11"/>
  <c r="A52" i="11"/>
  <c r="A51" i="11"/>
  <c r="A50" i="11"/>
  <c r="A49" i="11"/>
  <c r="A48" i="11"/>
  <c r="A47" i="11"/>
  <c r="A46" i="11"/>
  <c r="A45" i="11"/>
  <c r="A44" i="11"/>
  <c r="A43" i="11"/>
  <c r="A41" i="11"/>
  <c r="A39" i="11"/>
  <c r="A38" i="11"/>
  <c r="A37" i="11"/>
  <c r="A36" i="11"/>
  <c r="A35" i="11"/>
  <c r="A34" i="11"/>
  <c r="A33" i="11"/>
  <c r="A32" i="11"/>
  <c r="A31" i="11"/>
  <c r="A30" i="11"/>
  <c r="A29" i="11"/>
  <c r="A28" i="11"/>
  <c r="A27" i="11"/>
  <c r="A26" i="11"/>
  <c r="A25" i="11"/>
  <c r="A24" i="11"/>
  <c r="A23" i="11"/>
  <c r="A21" i="11"/>
  <c r="A19" i="11"/>
  <c r="A18" i="11"/>
  <c r="A17" i="11"/>
  <c r="A16" i="11"/>
  <c r="A15" i="11"/>
  <c r="A14" i="11"/>
  <c r="A13" i="11"/>
  <c r="A12" i="11"/>
  <c r="A11" i="11"/>
  <c r="A10" i="11"/>
  <c r="A9" i="11"/>
  <c r="A8" i="11"/>
  <c r="A7" i="11"/>
  <c r="A6" i="11"/>
  <c r="A5" i="11"/>
  <c r="A4" i="11"/>
  <c r="A3" i="11"/>
  <c r="A16" i="10"/>
  <c r="A15" i="10"/>
  <c r="A12" i="10"/>
  <c r="A11" i="10"/>
  <c r="A10" i="10"/>
  <c r="A9" i="10"/>
  <c r="A8" i="10"/>
  <c r="A7" i="10"/>
  <c r="A6" i="10"/>
  <c r="A2" i="10"/>
  <c r="H4" i="10"/>
  <c r="G3" i="10"/>
  <c r="D4" i="10"/>
  <c r="C4" i="10"/>
  <c r="B3" i="10"/>
  <c r="A48" i="9"/>
  <c r="A47" i="9"/>
  <c r="A46" i="9"/>
  <c r="A44" i="9"/>
  <c r="A43" i="9"/>
  <c r="A42" i="9"/>
  <c r="A40" i="9"/>
  <c r="A39" i="9"/>
  <c r="A38" i="9"/>
  <c r="A36" i="9"/>
  <c r="A35" i="9"/>
  <c r="A34" i="9"/>
  <c r="A32" i="9"/>
  <c r="A31" i="9"/>
  <c r="A30" i="9"/>
  <c r="A28" i="9"/>
  <c r="A27" i="9"/>
  <c r="A26" i="9"/>
  <c r="A24" i="9"/>
  <c r="A23" i="9"/>
  <c r="A22" i="9"/>
  <c r="A20" i="9"/>
  <c r="A19" i="9"/>
  <c r="A18" i="9"/>
  <c r="A16" i="9"/>
  <c r="A15" i="9"/>
  <c r="A14" i="9"/>
  <c r="A12" i="9"/>
  <c r="A11" i="9"/>
  <c r="A10" i="9"/>
  <c r="A8" i="9"/>
  <c r="A7" i="9"/>
  <c r="A6" i="9"/>
  <c r="A2" i="9"/>
  <c r="H4" i="9"/>
  <c r="G4" i="9"/>
  <c r="F4" i="9"/>
  <c r="E4" i="9"/>
  <c r="D4" i="9"/>
  <c r="C4" i="9"/>
  <c r="B4" i="9"/>
  <c r="A19" i="8"/>
  <c r="A18" i="8"/>
  <c r="A17" i="8"/>
  <c r="A16" i="8"/>
  <c r="A15" i="8"/>
  <c r="A14" i="8"/>
  <c r="A13" i="8"/>
  <c r="A12" i="8"/>
  <c r="A11" i="8"/>
  <c r="A10" i="8"/>
  <c r="A9" i="8"/>
  <c r="A8" i="8"/>
  <c r="A7" i="8"/>
  <c r="A6" i="8"/>
  <c r="A2" i="8"/>
  <c r="B4" i="8"/>
  <c r="A60" i="7"/>
  <c r="A58" i="7"/>
  <c r="A57" i="7"/>
  <c r="A56" i="7"/>
  <c r="A55" i="7"/>
  <c r="A54" i="7"/>
  <c r="A53" i="7"/>
  <c r="A48" i="7"/>
  <c r="A47" i="7"/>
  <c r="A46" i="7"/>
  <c r="A45" i="7"/>
  <c r="A44" i="7"/>
  <c r="A43" i="7"/>
  <c r="A42" i="7"/>
  <c r="A37" i="7"/>
  <c r="A36" i="7"/>
  <c r="A35" i="7"/>
  <c r="A34" i="7"/>
  <c r="A33" i="7"/>
  <c r="A32" i="7"/>
  <c r="A31" i="7"/>
  <c r="A30" i="7"/>
  <c r="A25" i="7"/>
  <c r="A24" i="7"/>
  <c r="A23" i="7"/>
  <c r="A22" i="7"/>
  <c r="A20" i="7"/>
  <c r="A19" i="7"/>
  <c r="A18" i="7"/>
  <c r="A17" i="7"/>
  <c r="A12" i="7"/>
  <c r="A11" i="7"/>
  <c r="A10" i="7"/>
  <c r="A9" i="7"/>
  <c r="A8" i="7"/>
  <c r="A7" i="7"/>
  <c r="A6" i="7"/>
  <c r="A5" i="7"/>
  <c r="A2" i="7"/>
  <c r="B51" i="7"/>
  <c r="B40" i="7"/>
  <c r="B28" i="7"/>
  <c r="B15" i="7"/>
  <c r="B3" i="7"/>
  <c r="A8" i="6"/>
  <c r="A7" i="6"/>
  <c r="A6" i="6"/>
  <c r="A5" i="6"/>
  <c r="A2" i="6"/>
  <c r="A48" i="6"/>
  <c r="A47" i="6"/>
  <c r="A45" i="6"/>
  <c r="A44" i="6"/>
  <c r="A43" i="6"/>
  <c r="A42" i="6"/>
  <c r="A41" i="6"/>
  <c r="A40" i="6"/>
  <c r="B38" i="6"/>
  <c r="A34" i="6"/>
  <c r="A33" i="6"/>
  <c r="A32" i="6"/>
  <c r="A31" i="6"/>
  <c r="B29" i="6"/>
  <c r="A26" i="6"/>
  <c r="A25" i="6"/>
  <c r="A24" i="6"/>
  <c r="A23" i="6"/>
  <c r="A22" i="6"/>
  <c r="B20" i="6"/>
  <c r="A17" i="6"/>
  <c r="A16" i="6"/>
  <c r="A15" i="6"/>
  <c r="A14" i="6"/>
  <c r="B12" i="6"/>
  <c r="B3" i="6"/>
  <c r="A1" i="30"/>
  <c r="A1" i="29"/>
  <c r="A1" i="28"/>
  <c r="A1" i="27"/>
  <c r="A1" i="26"/>
  <c r="E6" i="26"/>
  <c r="E5" i="26"/>
  <c r="A1" i="25"/>
  <c r="A1" i="24"/>
  <c r="A1" i="23"/>
  <c r="A1" i="22"/>
  <c r="A1" i="16"/>
  <c r="A1" i="15"/>
  <c r="A1" i="14"/>
  <c r="A1" i="13"/>
  <c r="A1" i="12"/>
  <c r="A1" i="11"/>
  <c r="G46" i="11"/>
  <c r="G56" i="11" s="1"/>
  <c r="E46" i="11"/>
  <c r="E56" i="11" s="1"/>
  <c r="D46" i="11"/>
  <c r="D56" i="11" s="1"/>
  <c r="C46" i="11"/>
  <c r="C56" i="11" s="1"/>
  <c r="G26" i="11"/>
  <c r="G39" i="11" s="1"/>
  <c r="E26" i="11"/>
  <c r="E39" i="11" s="1"/>
  <c r="D26" i="11"/>
  <c r="D39" i="11" s="1"/>
  <c r="G6" i="11"/>
  <c r="G19" i="11" s="1"/>
  <c r="E6" i="11"/>
  <c r="E19" i="11" s="1"/>
  <c r="D6" i="11"/>
  <c r="D19" i="11" s="1"/>
  <c r="C6" i="11"/>
  <c r="C19" i="11" s="1"/>
  <c r="A1" i="10"/>
  <c r="A1" i="9"/>
  <c r="A1" i="8"/>
  <c r="A1" i="7"/>
  <c r="A1" i="6"/>
  <c r="B300" i="5"/>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4"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B410"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294" i="5"/>
  <c r="B295" i="5" s="1"/>
  <c r="B296" i="5" s="1"/>
  <c r="B270" i="5"/>
  <c r="B169" i="5"/>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5" i="5"/>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F33" i="4"/>
  <c r="C33" i="4"/>
  <c r="F32" i="4"/>
  <c r="C32" i="4"/>
  <c r="F31" i="4"/>
  <c r="C31" i="4"/>
  <c r="F30" i="4"/>
  <c r="C30" i="4"/>
  <c r="F29" i="4"/>
  <c r="C29" i="4"/>
  <c r="F28" i="4"/>
  <c r="C28" i="4"/>
  <c r="F27" i="4"/>
  <c r="C27" i="4"/>
  <c r="F26" i="4"/>
  <c r="C26" i="4"/>
  <c r="C25" i="4"/>
  <c r="F24" i="4"/>
  <c r="C24" i="4"/>
  <c r="C23" i="4"/>
  <c r="F21" i="4"/>
  <c r="C21" i="4"/>
  <c r="F20" i="4"/>
  <c r="C20" i="4"/>
  <c r="F19" i="4"/>
  <c r="C19" i="4"/>
  <c r="F18" i="4"/>
  <c r="C18" i="4"/>
  <c r="F17" i="4"/>
  <c r="C17" i="4"/>
  <c r="F16" i="4"/>
  <c r="C16" i="4"/>
  <c r="F15" i="4"/>
  <c r="C15" i="4"/>
  <c r="F14" i="4"/>
  <c r="C14" i="4"/>
  <c r="F13" i="4"/>
  <c r="C13" i="4"/>
  <c r="F12" i="4"/>
  <c r="C12" i="4"/>
  <c r="F11" i="4"/>
  <c r="C11" i="4"/>
  <c r="F10" i="4"/>
  <c r="C10" i="4"/>
  <c r="F9" i="4"/>
  <c r="C9" i="4"/>
  <c r="C8" i="4"/>
  <c r="F6" i="4"/>
  <c r="C6" i="4"/>
  <c r="F5" i="4"/>
  <c r="C5" i="4"/>
  <c r="C4" i="4"/>
  <c r="C2" i="4"/>
</calcChain>
</file>

<file path=xl/sharedStrings.xml><?xml version="1.0" encoding="utf-8"?>
<sst xmlns="http://schemas.openxmlformats.org/spreadsheetml/2006/main" count="1573" uniqueCount="753">
  <si>
    <t>ESPAÑOL</t>
  </si>
  <si>
    <t>ENGLISH</t>
  </si>
  <si>
    <t>Orden</t>
  </si>
  <si>
    <t>Inglés</t>
  </si>
  <si>
    <t>Castellano</t>
  </si>
  <si>
    <t>Choose your language</t>
  </si>
  <si>
    <t>Escoja su idioma</t>
  </si>
  <si>
    <r>
      <t xml:space="preserve">Quarterly series </t>
    </r>
    <r>
      <rPr>
        <vertAlign val="superscript"/>
        <sz val="7.6"/>
        <rFont val="Arial"/>
        <family val="2"/>
      </rPr>
      <t>(*)</t>
    </r>
    <r>
      <rPr>
        <sz val="8"/>
        <rFont val="Arial"/>
        <family val="2"/>
      </rPr>
      <t xml:space="preserve"> - March 2011. Information by geographies</t>
    </r>
  </si>
  <si>
    <r>
      <t xml:space="preserve">Series trimestrales </t>
    </r>
    <r>
      <rPr>
        <vertAlign val="superscript"/>
        <sz val="7.6"/>
        <rFont val="Arial"/>
        <family val="2"/>
      </rPr>
      <t>(*)</t>
    </r>
    <r>
      <rPr>
        <sz val="8"/>
        <rFont val="Arial"/>
        <family val="2"/>
      </rPr>
      <t xml:space="preserve"> - Marzo 2011. Información por geografías</t>
    </r>
  </si>
  <si>
    <t>BBVA Group. Consolidated Income statement</t>
  </si>
  <si>
    <t>Grupo BBVA. Cuentas de resultados consolidadas</t>
  </si>
  <si>
    <t>BBVA Group. Consolidated income statement excluding one-offs</t>
  </si>
  <si>
    <t>Grupo BBVA. Cuentas de resultados consolidadas sin singulares</t>
  </si>
  <si>
    <t>BBVA Group. Consolidated balance sheet</t>
  </si>
  <si>
    <t>Grupo BBVA. Balances de situación consolidados</t>
  </si>
  <si>
    <t>Banking activity in Spain</t>
  </si>
  <si>
    <t>Actividad bancaria en España</t>
  </si>
  <si>
    <t>Spain excluding one-offs</t>
  </si>
  <si>
    <t>España sin singulares</t>
  </si>
  <si>
    <t>Mexico</t>
  </si>
  <si>
    <t>México</t>
  </si>
  <si>
    <t>Bancomer</t>
  </si>
  <si>
    <t>Grupo Bancario Bancomer</t>
  </si>
  <si>
    <t>Pensions and Insurance Mexico</t>
  </si>
  <si>
    <t>Pensiones y Seguros México</t>
  </si>
  <si>
    <t>South America</t>
  </si>
  <si>
    <t xml:space="preserve">América del Sur </t>
  </si>
  <si>
    <t>Banking South America</t>
  </si>
  <si>
    <t>Bancos América del Sur</t>
  </si>
  <si>
    <t>Pensions and Insurance South America</t>
  </si>
  <si>
    <t>Pensiones y Seguros América del Sur</t>
  </si>
  <si>
    <t>Argentina</t>
  </si>
  <si>
    <t>Chile</t>
  </si>
  <si>
    <t>Colombia</t>
  </si>
  <si>
    <t>Peru</t>
  </si>
  <si>
    <t>Perú</t>
  </si>
  <si>
    <t>Venezuela</t>
  </si>
  <si>
    <t>The United States</t>
  </si>
  <si>
    <t>Estados Unidos</t>
  </si>
  <si>
    <t>USA excluding one-offs</t>
  </si>
  <si>
    <t>Estados Unidos sin singulares</t>
  </si>
  <si>
    <t>Wholesale Banking &amp; Asset Management</t>
  </si>
  <si>
    <t>Corporate &amp; Investment Banking</t>
  </si>
  <si>
    <t>Global  Markets</t>
  </si>
  <si>
    <t xml:space="preserve">Corporate Center </t>
  </si>
  <si>
    <t>Centro Corporativo</t>
  </si>
  <si>
    <t>Efficiency</t>
  </si>
  <si>
    <t>Eficiencia</t>
  </si>
  <si>
    <t>NPL, coverage ratios and cost of risk</t>
  </si>
  <si>
    <t>Tasas de mora, cobertura y coste de riesgo</t>
  </si>
  <si>
    <t>Branches, employees and atm´s</t>
  </si>
  <si>
    <t>Empleados, oficinas y cajeros automáticos</t>
  </si>
  <si>
    <t>(**) 2015 includes the capital gains from the various sale operations equivalent to 6.34% of BBVA Group’s stake in CNCB,  the badwill from the CX operation, the effect of the valuation at fair value of the 25.01% initial stake held by BBVA in Garanti and  the impact of the sale of BBVA’s 29.68% stake in CIFH.</t>
  </si>
  <si>
    <t>(**) 2015 incorpora las plusvalías procedentes de las distintas operaciones de venta equivalentes a un 6,34% de la participación del Grupo BBVA en CNCB, el badwill generado por la operación de CX, el efecto de la puesta a valor razonable de la participación inicial del 25,01% en Garanti y el impacto procedente de la venta de la participación del 29,68% en CIFH.</t>
  </si>
  <si>
    <t>(Million euros)</t>
  </si>
  <si>
    <t>(Millones de euros)</t>
  </si>
  <si>
    <t xml:space="preserve">(Constant million euros)    </t>
  </si>
  <si>
    <t>(Millones de euros constantes)</t>
  </si>
  <si>
    <t xml:space="preserve">(Constant million euros and percentages)   </t>
  </si>
  <si>
    <t xml:space="preserve">(Millones de euros constantes y porcentajes)   </t>
  </si>
  <si>
    <t xml:space="preserve">(Million euros and percentages)   </t>
  </si>
  <si>
    <t xml:space="preserve">(Millones de euros y porcentajes)   </t>
  </si>
  <si>
    <t>1Q</t>
  </si>
  <si>
    <r>
      <t>1</t>
    </r>
    <r>
      <rPr>
        <vertAlign val="superscript"/>
        <sz val="10"/>
        <rFont val="Tahoma"/>
        <family val="2"/>
      </rPr>
      <t>er</t>
    </r>
    <r>
      <rPr>
        <sz val="10"/>
        <rFont val="Tahoma"/>
        <family val="2"/>
      </rPr>
      <t xml:space="preserve"> Trim.</t>
    </r>
  </si>
  <si>
    <t>2Q</t>
  </si>
  <si>
    <t>2º Trim.</t>
  </si>
  <si>
    <t>3Q</t>
  </si>
  <si>
    <r>
      <t>3</t>
    </r>
    <r>
      <rPr>
        <vertAlign val="superscript"/>
        <sz val="10"/>
        <rFont val="Tahoma"/>
        <family val="2"/>
      </rPr>
      <t>er</t>
    </r>
    <r>
      <rPr>
        <sz val="10"/>
        <rFont val="Tahoma"/>
        <family val="2"/>
      </rPr>
      <t xml:space="preserve"> Trim.</t>
    </r>
  </si>
  <si>
    <t>4Q</t>
  </si>
  <si>
    <t>4º Trim.</t>
  </si>
  <si>
    <t>Net interest income</t>
  </si>
  <si>
    <t>Margen de intereses</t>
  </si>
  <si>
    <t>Net fees and commissions</t>
  </si>
  <si>
    <t>Comisiones netas</t>
  </si>
  <si>
    <t>Net trading income</t>
  </si>
  <si>
    <t>Resultados de operaciones financieras</t>
  </si>
  <si>
    <t>Dividend income</t>
  </si>
  <si>
    <t>Ingresos por dividendos</t>
  </si>
  <si>
    <t>Share of profit or loss of entities accounted for using the equity method</t>
  </si>
  <si>
    <t>Resultados de entidades valoradas por el método de la participación</t>
  </si>
  <si>
    <t>Other operating income and expenses</t>
  </si>
  <si>
    <t>Otros productos y cargas de explotación</t>
  </si>
  <si>
    <t>Gross income</t>
  </si>
  <si>
    <t>Margen bruto</t>
  </si>
  <si>
    <t>Operating expenses</t>
  </si>
  <si>
    <t>Gastos de explotación</t>
  </si>
  <si>
    <t xml:space="preserve">  Administration expenses</t>
  </si>
  <si>
    <t xml:space="preserve">  Gastos de administración</t>
  </si>
  <si>
    <t xml:space="preserve">  Personnel expenses</t>
  </si>
  <si>
    <t xml:space="preserve">  Gastos de personal</t>
  </si>
  <si>
    <t xml:space="preserve">  General and administrative expenses</t>
  </si>
  <si>
    <t xml:space="preserve">  Otros gastos de administración</t>
  </si>
  <si>
    <t xml:space="preserve">  Depreciation</t>
  </si>
  <si>
    <t xml:space="preserve">  Amortización</t>
  </si>
  <si>
    <t>Operating income</t>
  </si>
  <si>
    <t>Margen neto</t>
  </si>
  <si>
    <t>Impaiment on financial assets not measured at fair value through profit or loss</t>
  </si>
  <si>
    <t>Deterioro de activos financieros no valorados a valor razonable con cambios en resultados</t>
  </si>
  <si>
    <t>Provisions</t>
  </si>
  <si>
    <t>Dotaciones a provisiones</t>
  </si>
  <si>
    <t>Other gains (losses)</t>
  </si>
  <si>
    <t>Otros resultados</t>
  </si>
  <si>
    <t>Profit/(loss) before tax</t>
  </si>
  <si>
    <t>Resultado antes de impuestos</t>
  </si>
  <si>
    <t>Income tax</t>
  </si>
  <si>
    <t>Impuesto sobre beneficios</t>
  </si>
  <si>
    <t>Profit/(loss) for the year</t>
  </si>
  <si>
    <t>Resultado del ejercicio</t>
  </si>
  <si>
    <t>Non-controlling interests</t>
  </si>
  <si>
    <t>Minoritarios</t>
  </si>
  <si>
    <t>Net attributable profit</t>
  </si>
  <si>
    <t>Resultado atribuido</t>
  </si>
  <si>
    <r>
      <t>One offs</t>
    </r>
    <r>
      <rPr>
        <vertAlign val="superscript"/>
        <sz val="8.5"/>
        <color indexed="18"/>
        <rFont val="Tahoma"/>
        <family val="2"/>
      </rPr>
      <t xml:space="preserve"> (1)</t>
    </r>
  </si>
  <si>
    <r>
      <t>Resultados singulares netos</t>
    </r>
    <r>
      <rPr>
        <vertAlign val="superscript"/>
        <sz val="8.5"/>
        <rFont val="Tahoma"/>
        <family val="2"/>
      </rPr>
      <t>(*)</t>
    </r>
  </si>
  <si>
    <r>
      <t xml:space="preserve">Net attributable profit (Excluding one-offs) </t>
    </r>
    <r>
      <rPr>
        <b/>
        <vertAlign val="superscript"/>
        <sz val="8.5"/>
        <color indexed="18"/>
        <rFont val="Tahoma"/>
        <family val="2"/>
      </rPr>
      <t>(*)</t>
    </r>
  </si>
  <si>
    <t>Beneficio atribuido al Grupo (sin singulares)</t>
  </si>
  <si>
    <t>(*) The third quarter of 2009 and of 2010 includes capital gains from the sale-and-leaseback of retail branches which have been alloted to generic provisions for NPA, with no effect on net attributable profit,</t>
  </si>
  <si>
    <t>(*) En 2009 y 2010, en el tercer trimestre, plusvalías por venta y posterior arrendamiento de oficinas comerciales que se han aplicado a provisiones genéricas de insolvencias, sin efecto en atribuido,</t>
  </si>
  <si>
    <t xml:space="preserve"> (Millones de euros constantes)</t>
  </si>
  <si>
    <t>Cash, cash balances at central banks and other demand deposits</t>
  </si>
  <si>
    <t>Efectivo, saldos en efectivo en bancos centrales y otros depósitos a la vista</t>
  </si>
  <si>
    <t>Financial assets held for trading</t>
  </si>
  <si>
    <t>Activos financieros mantenidos para negociar</t>
  </si>
  <si>
    <t>Non-trading financial assets mandatorily at fair value through profit or loss</t>
  </si>
  <si>
    <t>Activos financieros no destinados a negociación valorados obligatoriamente a valor razonable con cambios en resultados</t>
  </si>
  <si>
    <t>Financial assets designated at fair value through profit or loss</t>
  </si>
  <si>
    <t>Activos financieros designados a valor razonable con cambios en resultados</t>
  </si>
  <si>
    <t>Loans and receivables</t>
  </si>
  <si>
    <t>Préstamos y partidas a cobrar</t>
  </si>
  <si>
    <t xml:space="preserve">. Loans and advances to central banks and credit institutions </t>
  </si>
  <si>
    <t>. Préstamos y anticipos en bancos centrales  y entidades de crédito</t>
  </si>
  <si>
    <t>. Loans and advances to customers</t>
  </si>
  <si>
    <t>. Préstamos y anticipos a la clientela</t>
  </si>
  <si>
    <t>. Other</t>
  </si>
  <si>
    <t>. Otros activos financieros</t>
  </si>
  <si>
    <t>Held-to-maturity investments</t>
  </si>
  <si>
    <t>Inversiones mantenidas hasta el vencimiento</t>
  </si>
  <si>
    <t>Investments in subsidiaries, joint ventures and associates</t>
  </si>
  <si>
    <t>Inversiones en negocios conjuntos y asociadas</t>
  </si>
  <si>
    <t>Tangible assets</t>
  </si>
  <si>
    <t>Activos tangibles</t>
  </si>
  <si>
    <t>Intangible assets</t>
  </si>
  <si>
    <t>Activos intangibles</t>
  </si>
  <si>
    <t>Other assets</t>
  </si>
  <si>
    <t>Otros activos</t>
  </si>
  <si>
    <t>Total assets</t>
  </si>
  <si>
    <t>Total activo</t>
  </si>
  <si>
    <t>Financial liabilities held for trading</t>
  </si>
  <si>
    <t>Pasivos financieros mantenidos para negociar</t>
  </si>
  <si>
    <t>Other financial liabilities designated at fair value through profit or loss</t>
  </si>
  <si>
    <t>Pasivos financieros designados a valor razonable con cambios en resultados</t>
  </si>
  <si>
    <t>Financial liabilities at amortized cost</t>
  </si>
  <si>
    <t>Pasivos financieros a coste amortizado</t>
  </si>
  <si>
    <t>. Deposits from central banks and credit institutions</t>
  </si>
  <si>
    <t>. Depósitos de bancos centrales y entidades de crédito</t>
  </si>
  <si>
    <t>. Deposits from customers</t>
  </si>
  <si>
    <t>. Depósitos de la clientela</t>
  </si>
  <si>
    <t>. Debt certificates</t>
  </si>
  <si>
    <t>. Débitos representados por valores negociables</t>
  </si>
  <si>
    <t>. Memorandum item: subordinated liabilities</t>
  </si>
  <si>
    <t>. Pro memoria: pasivos subordinados</t>
  </si>
  <si>
    <t>. Other financial liabilities</t>
  </si>
  <si>
    <t>. Otros pasivos financieros</t>
  </si>
  <si>
    <t>Liabilities under insurance and reinsurance contracts</t>
  </si>
  <si>
    <t>Pasivos amparados por contratos de seguros o reaseguro</t>
  </si>
  <si>
    <t>Other liabilities</t>
  </si>
  <si>
    <t>Otros pasivos</t>
  </si>
  <si>
    <t>Total liabilities</t>
  </si>
  <si>
    <t>Total pasivo</t>
  </si>
  <si>
    <t>Intereses minoritarios</t>
  </si>
  <si>
    <t>Accumulated other comprehensive income</t>
  </si>
  <si>
    <t>Otro resultado global acumulado</t>
  </si>
  <si>
    <t>Shareholders' funds</t>
  </si>
  <si>
    <t>Fondos propios</t>
  </si>
  <si>
    <t>Total equity</t>
  </si>
  <si>
    <t>Patrimonio neto</t>
  </si>
  <si>
    <t>Total equity and liabilities</t>
  </si>
  <si>
    <t>Total patrimonio neto y pasivo</t>
  </si>
  <si>
    <t xml:space="preserve">Income statement  </t>
  </si>
  <si>
    <t xml:space="preserve">Cuentas de resultados  </t>
  </si>
  <si>
    <t>Balance sheets</t>
  </si>
  <si>
    <t>Balances</t>
  </si>
  <si>
    <t>Otros ingresos y cargas de explotación</t>
  </si>
  <si>
    <r>
      <t>Impairment on financial assets (net)</t>
    </r>
    <r>
      <rPr>
        <vertAlign val="superscript"/>
        <sz val="8.5"/>
        <color indexed="18"/>
        <rFont val="Tahoma"/>
        <family val="2"/>
      </rPr>
      <t xml:space="preserve"> (1)</t>
    </r>
  </si>
  <si>
    <t>Pérdidas por deterioro de activos financieros</t>
  </si>
  <si>
    <r>
      <t xml:space="preserve">Provisions (net) and other gains/losses </t>
    </r>
    <r>
      <rPr>
        <vertAlign val="superscript"/>
        <sz val="8.5"/>
        <color indexed="18"/>
        <rFont val="Tahoma"/>
        <family val="2"/>
      </rPr>
      <t>(1)</t>
    </r>
  </si>
  <si>
    <t>Dotaciones a provisiones y otros resultados</t>
  </si>
  <si>
    <r>
      <t xml:space="preserve">(*) </t>
    </r>
    <r>
      <rPr>
        <sz val="8"/>
        <rFont val="Tahoma"/>
        <family val="2"/>
      </rPr>
      <t>The third quarter, both for 2009 and 2010, includes 830 and 233 million euros, in capital gains from the sale-and-leaseback of retail branches and insolvency provisions for the same amount.</t>
    </r>
  </si>
  <si>
    <r>
      <t>(*)</t>
    </r>
    <r>
      <rPr>
        <sz val="8"/>
        <rFont val="Tahoma"/>
        <family val="2"/>
      </rPr>
      <t xml:space="preserve"> El tercer trimestre de 2009 y de 2010 incluyen 830 y 233 millones de euros, respectivamente, de plusvalías por venta y posterior arrendamiento de oficinas comerciales y provisiones genéricas de insolvencias por el mismo importe.</t>
    </r>
  </si>
  <si>
    <t>(*) The third quarter, both for 2009 and 2010, excludes 830 and 233 million euros in capital gains from the sale-and-leaseback of retail branches and insolvency provisions for the same amount.</t>
  </si>
  <si>
    <t>(*) No incluye en el tercer trimestre de 2009 ni de 2010, 830 y 233 millones de euros, respectivamante, de plusvalías por venta y posterior arrendamiento de oficinas comerciales y provisiones genéricas de insolvencias por el mismo importe.</t>
  </si>
  <si>
    <t xml:space="preserve">Financial assets designated at fair value </t>
  </si>
  <si>
    <t>Activos financieros a valor razonable</t>
  </si>
  <si>
    <t>Inversiones crediticias</t>
  </si>
  <si>
    <t xml:space="preserve">    of which loans and advances to customers</t>
  </si>
  <si>
    <t xml:space="preserve">    de los que préstamos y anticipos a la clientela</t>
  </si>
  <si>
    <t xml:space="preserve">  . Loans and advances to credit institutions and other</t>
  </si>
  <si>
    <t xml:space="preserve">  . Depósitos en entidades de crédito y otros</t>
  </si>
  <si>
    <t>Inter-area positions</t>
  </si>
  <si>
    <t>Posiciones inter-áreas activo</t>
  </si>
  <si>
    <t>Total assets / Liabilities and equity</t>
  </si>
  <si>
    <t>Total activo / pasivo</t>
  </si>
  <si>
    <t>Deposits from central banks and credit institutions</t>
  </si>
  <si>
    <t>Depósitos de bancos centrales y entidades de crédito</t>
  </si>
  <si>
    <t>Deposits from customers</t>
  </si>
  <si>
    <t>Depósitos de la clientela</t>
  </si>
  <si>
    <t>Financial liabilities held for trading and designated at fair value through profit or loss</t>
  </si>
  <si>
    <t>Pasivos financieros mantenidos para negociar y designados a valor razonable con cambios en resultados</t>
  </si>
  <si>
    <t>Debt certificates</t>
  </si>
  <si>
    <t>Valores representativos de deuda emitidos</t>
  </si>
  <si>
    <t>Posiciones inter-áreas pasivo</t>
  </si>
  <si>
    <t xml:space="preserve">Financial liabilities held for trading </t>
  </si>
  <si>
    <t>Cartera de negociación</t>
  </si>
  <si>
    <t>Economic capital allocated</t>
  </si>
  <si>
    <t>Dotación de capital económico</t>
  </si>
  <si>
    <t>Relevant business indicators</t>
  </si>
  <si>
    <t>Indicadores relevantes y de gestión</t>
  </si>
  <si>
    <t>Loans and advances to customers (gross) (*)</t>
  </si>
  <si>
    <t>Préstamos y anticipos a la clientela bruto (*)</t>
  </si>
  <si>
    <r>
      <t>Customer deposits</t>
    </r>
    <r>
      <rPr>
        <vertAlign val="superscript"/>
        <sz val="8.5"/>
        <color indexed="18"/>
        <rFont val="Tahoma"/>
        <family val="2"/>
      </rPr>
      <t xml:space="preserve"> (1)</t>
    </r>
  </si>
  <si>
    <r>
      <t xml:space="preserve">Depósitos de clientes </t>
    </r>
    <r>
      <rPr>
        <vertAlign val="superscript"/>
        <sz val="10"/>
        <rFont val="Tahoma"/>
        <family val="2"/>
      </rPr>
      <t>(*)</t>
    </r>
  </si>
  <si>
    <t>Loans under management</t>
  </si>
  <si>
    <t>Inversión en gestión</t>
  </si>
  <si>
    <t>Customer deposits under management (*)</t>
  </si>
  <si>
    <r>
      <t xml:space="preserve">Depósitos de clientes en gestión </t>
    </r>
    <r>
      <rPr>
        <vertAlign val="superscript"/>
        <sz val="7.6"/>
        <rFont val="Arial"/>
        <family val="2"/>
      </rPr>
      <t>(**)</t>
    </r>
  </si>
  <si>
    <t>Mutual funds</t>
  </si>
  <si>
    <t>Fondos de inversión</t>
  </si>
  <si>
    <t>Other placements</t>
  </si>
  <si>
    <t>Otras colocaciones</t>
  </si>
  <si>
    <t>ROE (%)</t>
  </si>
  <si>
    <t>Efficiency ratio (%)</t>
  </si>
  <si>
    <t>Ratio de eficiencia (%)</t>
  </si>
  <si>
    <t>NPA ratio (%)</t>
  </si>
  <si>
    <t>Tasa de mora (%)</t>
  </si>
  <si>
    <t>Coverage ratio (%)</t>
  </si>
  <si>
    <t>Tasa de cobertura (%)</t>
  </si>
  <si>
    <t>(*) Includes collection accounts and individual annuities.</t>
  </si>
  <si>
    <t>(*) Incluye cuentas de recaudación y rentas de seguros</t>
  </si>
  <si>
    <t>(*) Excluding deposits and repos issued by Bancomer's Markets unit.</t>
  </si>
  <si>
    <t>(*) Excluidos depósitos y repos emitidos por Mercados Bancomer.</t>
  </si>
  <si>
    <t>(*) Including marketable debt securities.</t>
  </si>
  <si>
    <t>(*) Incluye valores negociables.</t>
  </si>
  <si>
    <t xml:space="preserve">(*) In the fourth quarter of 2009, there was an extraordinary provision of 533 million euros and a 998 miliion euros </t>
  </si>
  <si>
    <t xml:space="preserve">(*) En el cuarto trimestre de 2009, dotación extraordinaria a saneamientos por importe de 533 millones de euros y cargo por el deterioro de valor del fondo de comercio </t>
  </si>
  <si>
    <t>(*) Excluding deposits and repos issued by Markets unit.</t>
  </si>
  <si>
    <t>(*) Excluidos depósitos y repos emitidos por Mercados.</t>
  </si>
  <si>
    <t>(*) In the fourth quarter of 2009, excludes an extraordinary provision of 533 million euros and a 998 miliion euros</t>
  </si>
  <si>
    <r>
      <t xml:space="preserve">(*) </t>
    </r>
    <r>
      <rPr>
        <sz val="8"/>
        <rFont val="Tahoma"/>
        <family val="2"/>
      </rPr>
      <t>En el cuarto trimestre de 2009, no incluye dotación extraordinaria a saneamientos por importe de 533 millones de euros y cargo por el deterioro de valor del fondo de comercio</t>
    </r>
  </si>
  <si>
    <t>. Assets sold under repurchase agreement</t>
  </si>
  <si>
    <t xml:space="preserve"> . Cesiones temporales de activos</t>
  </si>
  <si>
    <t>Capital y reservas</t>
  </si>
  <si>
    <t>(*) Operating expenses / Gross income. Including depreciation</t>
  </si>
  <si>
    <t>(*) Gastos de explotación / Margen bruto. Incluye amortizaciones</t>
  </si>
  <si>
    <r>
      <t xml:space="preserve">Efficiency </t>
    </r>
    <r>
      <rPr>
        <vertAlign val="superscript"/>
        <sz val="10"/>
        <rFont val="Tahoma"/>
        <family val="2"/>
      </rPr>
      <t>(*)</t>
    </r>
  </si>
  <si>
    <r>
      <t>Eficiencia</t>
    </r>
    <r>
      <rPr>
        <vertAlign val="superscript"/>
        <sz val="7.6"/>
        <rFont val="Arial"/>
        <family val="2"/>
      </rPr>
      <t xml:space="preserve"> (*)</t>
    </r>
  </si>
  <si>
    <t>NPL ratio</t>
  </si>
  <si>
    <t>Tasa de mora</t>
  </si>
  <si>
    <t>NPL coverage ratio</t>
  </si>
  <si>
    <t>Tasa de cobertura</t>
  </si>
  <si>
    <t>Branches</t>
  </si>
  <si>
    <t>Oficinas</t>
  </si>
  <si>
    <t>Spain</t>
  </si>
  <si>
    <t>España</t>
  </si>
  <si>
    <t>America</t>
  </si>
  <si>
    <t>América</t>
  </si>
  <si>
    <t xml:space="preserve">   Mexico</t>
  </si>
  <si>
    <t xml:space="preserve">   México</t>
  </si>
  <si>
    <t xml:space="preserve">   The United States</t>
  </si>
  <si>
    <t xml:space="preserve">   Estados Unidos </t>
  </si>
  <si>
    <t xml:space="preserve">   Argentina</t>
  </si>
  <si>
    <t xml:space="preserve">   Argentina </t>
  </si>
  <si>
    <t xml:space="preserve">   Colombia</t>
  </si>
  <si>
    <t xml:space="preserve">   Venezuela</t>
  </si>
  <si>
    <t xml:space="preserve">   Peru</t>
  </si>
  <si>
    <t xml:space="preserve">   Perú</t>
  </si>
  <si>
    <t xml:space="preserve">   Chile</t>
  </si>
  <si>
    <t xml:space="preserve">   Chile </t>
  </si>
  <si>
    <t xml:space="preserve">   Panama</t>
  </si>
  <si>
    <t xml:space="preserve">   Panamá</t>
  </si>
  <si>
    <t xml:space="preserve">   Paraguay</t>
  </si>
  <si>
    <t xml:space="preserve">   Uruguay</t>
  </si>
  <si>
    <t xml:space="preserve">   Ecuador</t>
  </si>
  <si>
    <t xml:space="preserve">   Bolivia</t>
  </si>
  <si>
    <t>Rest of the world</t>
  </si>
  <si>
    <t>Resto del mundo</t>
  </si>
  <si>
    <t>Total</t>
  </si>
  <si>
    <t>Employees</t>
  </si>
  <si>
    <t>Empleados</t>
  </si>
  <si>
    <r>
      <t xml:space="preserve">BBVA Group. Consolidated income statement excluding one-offs </t>
    </r>
    <r>
      <rPr>
        <vertAlign val="superscript"/>
        <sz val="7.6"/>
        <rFont val="Arial"/>
        <family val="2"/>
      </rPr>
      <t>(*)</t>
    </r>
  </si>
  <si>
    <r>
      <t xml:space="preserve">Grupo BBVA. Cuentas de resultados consolidadas sin singulares </t>
    </r>
    <r>
      <rPr>
        <vertAlign val="superscript"/>
        <sz val="7.6"/>
        <rFont val="Arial"/>
        <family val="2"/>
      </rPr>
      <t>(*)</t>
    </r>
  </si>
  <si>
    <t>Provisions or reversal of provisions and other results</t>
  </si>
  <si>
    <t>Provisiones o reversión de provisiones y otros resultados</t>
  </si>
  <si>
    <t>Customer deposits</t>
  </si>
  <si>
    <t>Depósitos de clientes</t>
  </si>
  <si>
    <t xml:space="preserve"> . Deposits </t>
  </si>
  <si>
    <t xml:space="preserve"> . Depósitos </t>
  </si>
  <si>
    <t>Valuation adjustments</t>
  </si>
  <si>
    <t>Ajustes por valoración</t>
  </si>
  <si>
    <t>BBVA Group</t>
  </si>
  <si>
    <t>Grupo BBVA</t>
  </si>
  <si>
    <t>and in the fourth quarter of 2009, there was an extraordinary provision and a charge for goodwill impairment in the United States.</t>
  </si>
  <si>
    <t>y en el cuarto trimestre de 2009, dotación extraordinaria a saneamientos y cargo por el deterioro del valor del fondo de comercio en Estados Unidos.</t>
  </si>
  <si>
    <t>charge for goodwill impairment, both before tax.</t>
  </si>
  <si>
    <t>por 998 millones, ambas antes de impuestos.</t>
  </si>
  <si>
    <t>(Expressed in currency/euro)</t>
  </si>
  <si>
    <t>(Expresados en divisa/euro)</t>
  </si>
  <si>
    <t>Mexican peso</t>
  </si>
  <si>
    <t>Peso mexicano</t>
  </si>
  <si>
    <t>U.S. dollar</t>
  </si>
  <si>
    <t>Dólar estadounidense</t>
  </si>
  <si>
    <t>Argentine peso</t>
  </si>
  <si>
    <t>Peso argentino</t>
  </si>
  <si>
    <t>Chilean peso</t>
  </si>
  <si>
    <t>Peso chileno</t>
  </si>
  <si>
    <t>Colombian peso</t>
  </si>
  <si>
    <t>Peso colombiano</t>
  </si>
  <si>
    <t>Peruvian sol</t>
  </si>
  <si>
    <t>Sol peruano</t>
  </si>
  <si>
    <t>Venezuelan bolivar</t>
  </si>
  <si>
    <t>Bolívar fuerte venezolano</t>
  </si>
  <si>
    <r>
      <t xml:space="preserve">Year-end exchange rates </t>
    </r>
    <r>
      <rPr>
        <vertAlign val="superscript"/>
        <sz val="7.6"/>
        <rFont val="Arial"/>
        <family val="2"/>
      </rPr>
      <t>(*)</t>
    </r>
  </si>
  <si>
    <r>
      <t xml:space="preserve">Cambios finales </t>
    </r>
    <r>
      <rPr>
        <vertAlign val="superscript"/>
        <sz val="7.6"/>
        <rFont val="Arial"/>
        <family val="2"/>
      </rPr>
      <t>(*)</t>
    </r>
  </si>
  <si>
    <r>
      <t xml:space="preserve">Average exchange rates </t>
    </r>
    <r>
      <rPr>
        <vertAlign val="superscript"/>
        <sz val="7.6"/>
        <rFont val="Arial"/>
        <family val="2"/>
      </rPr>
      <t>(**)</t>
    </r>
  </si>
  <si>
    <r>
      <t xml:space="preserve">Cambios medios </t>
    </r>
    <r>
      <rPr>
        <vertAlign val="superscript"/>
        <sz val="7.6"/>
        <rFont val="Arial"/>
        <family val="2"/>
      </rPr>
      <t>(**)</t>
    </r>
  </si>
  <si>
    <t>(*) Used in the constant euros comparisons for the balance sheet and business activity</t>
  </si>
  <si>
    <t>(*) Utilizados en el cálculo de euros constantes de los datos de balance y actividad</t>
  </si>
  <si>
    <t>(**) Used in the constant euros comparisons for the profit and loss</t>
  </si>
  <si>
    <t>(**) Utilizados en el cálculo de euros constantes de los datos de resultados</t>
  </si>
  <si>
    <t>Jan.-Dec. 2010</t>
  </si>
  <si>
    <t>Enero-Dic. 2010</t>
  </si>
  <si>
    <t>∆ % on</t>
  </si>
  <si>
    <t xml:space="preserve">∆% sobre </t>
  </si>
  <si>
    <t>Jan.-Dec. 2009</t>
  </si>
  <si>
    <t>Enero-Dic. 2009</t>
  </si>
  <si>
    <t>Exchange rates</t>
  </si>
  <si>
    <t>Tipos de cambio</t>
  </si>
  <si>
    <t>Rest of Eurasia</t>
  </si>
  <si>
    <t>Resto de Eurasia</t>
  </si>
  <si>
    <t>Local business</t>
  </si>
  <si>
    <t>Negocios locales</t>
  </si>
  <si>
    <r>
      <t xml:space="preserve">Quarterly series </t>
    </r>
    <r>
      <rPr>
        <vertAlign val="superscript"/>
        <sz val="7.6"/>
        <rFont val="Arial"/>
        <family val="2"/>
      </rPr>
      <t>(*)</t>
    </r>
    <r>
      <rPr>
        <sz val="8"/>
        <rFont val="Arial"/>
        <family val="2"/>
      </rPr>
      <t xml:space="preserve"> - March 2011. Information by segments</t>
    </r>
  </si>
  <si>
    <r>
      <t xml:space="preserve">Series trimestrales </t>
    </r>
    <r>
      <rPr>
        <vertAlign val="superscript"/>
        <sz val="7.6"/>
        <rFont val="Arial"/>
        <family val="2"/>
      </rPr>
      <t>(*)</t>
    </r>
    <r>
      <rPr>
        <sz val="8"/>
        <rFont val="Arial"/>
        <family val="2"/>
      </rPr>
      <t xml:space="preserve"> - Marzo 2011. Información por segmentos</t>
    </r>
  </si>
  <si>
    <r>
      <t xml:space="preserve">Quarterly series </t>
    </r>
    <r>
      <rPr>
        <vertAlign val="superscript"/>
        <sz val="7.6"/>
        <rFont val="Arial"/>
        <family val="2"/>
      </rPr>
      <t>(*)</t>
    </r>
    <r>
      <rPr>
        <sz val="8"/>
        <rFont val="Arial"/>
        <family val="2"/>
      </rPr>
      <t xml:space="preserve"> - March 2011. Main ratios</t>
    </r>
  </si>
  <si>
    <r>
      <t xml:space="preserve">Series trimestrales </t>
    </r>
    <r>
      <rPr>
        <vertAlign val="superscript"/>
        <sz val="7.6"/>
        <rFont val="Arial"/>
        <family val="2"/>
      </rPr>
      <t>(*)</t>
    </r>
    <r>
      <rPr>
        <sz val="8"/>
        <rFont val="Arial"/>
        <family val="2"/>
      </rPr>
      <t xml:space="preserve"> - Marzo 2011. Principales ratios</t>
    </r>
  </si>
  <si>
    <t>Asset management, Pensions and Insurance</t>
  </si>
  <si>
    <t>Gestión de activos, Pensiones y Seguros</t>
  </si>
  <si>
    <t>Turkish lira</t>
  </si>
  <si>
    <t>Lira turca</t>
  </si>
  <si>
    <t>Yuan Chinese</t>
  </si>
  <si>
    <t>Yuan chino</t>
  </si>
  <si>
    <t>Quarterly series 2017-2018</t>
  </si>
  <si>
    <t>Series trimestrales 2017-2018</t>
  </si>
  <si>
    <t>Business areas</t>
  </si>
  <si>
    <t>Áreas de negocio</t>
  </si>
  <si>
    <t>Additional information:</t>
  </si>
  <si>
    <t>Información adicional:</t>
  </si>
  <si>
    <t>Consolidated income statement</t>
  </si>
  <si>
    <t>Cuentas de resultados consolidadas</t>
  </si>
  <si>
    <t>Consolidated balance sheet</t>
  </si>
  <si>
    <t>Balances de situación consolidados</t>
  </si>
  <si>
    <t>March 2011</t>
  </si>
  <si>
    <t>Marzo 2011</t>
  </si>
  <si>
    <t>Cost of risk</t>
  </si>
  <si>
    <t>Coste de riesgo</t>
  </si>
  <si>
    <t>Breakdown of yields and costs</t>
  </si>
  <si>
    <t>Estructura de rendimientos y costes</t>
  </si>
  <si>
    <t>Annex:</t>
  </si>
  <si>
    <t>Anexo:</t>
  </si>
  <si>
    <t>(***) The addition of Corporate &amp; business banking businesses in all countries. Figures in current and constant euros</t>
  </si>
  <si>
    <t>(***) Como suma de los negocios globales de cada geografia, Datos en Euros corrientes y costantes</t>
  </si>
  <si>
    <t>1H18</t>
  </si>
  <si>
    <t>1er Sem. 18</t>
  </si>
  <si>
    <t>1H17</t>
  </si>
  <si>
    <t>1er Sem. 17</t>
  </si>
  <si>
    <t>ATM's</t>
  </si>
  <si>
    <t>Cajeros automáticos</t>
  </si>
  <si>
    <t>Pension funds</t>
  </si>
  <si>
    <t>Fondos de pensiones</t>
  </si>
  <si>
    <t xml:space="preserve"> .Mortgage bonds</t>
  </si>
  <si>
    <t xml:space="preserve"> .Titulos hipotecarios y cédulas territoriales</t>
  </si>
  <si>
    <t xml:space="preserve"> .Debt certificates</t>
  </si>
  <si>
    <t>. Valores representativos de deuda emitidos</t>
  </si>
  <si>
    <t>Cash and balances with central banks</t>
  </si>
  <si>
    <t>Caja y depósitos en bancos centrales</t>
  </si>
  <si>
    <t>Financial assets and derivatives</t>
  </si>
  <si>
    <t>Cartera de títulos y derivados</t>
  </si>
  <si>
    <t>Loans and advances to credit institutions</t>
  </si>
  <si>
    <t>Depósitos en entidades de crédito</t>
  </si>
  <si>
    <t>Loans and advances to customers</t>
  </si>
  <si>
    <t>Créditos a la clientela</t>
  </si>
  <si>
    <t>Euros</t>
  </si>
  <si>
    <t xml:space="preserve">  . Euros</t>
  </si>
  <si>
    <t>Domestic</t>
  </si>
  <si>
    <t xml:space="preserve">      - Residentes</t>
  </si>
  <si>
    <t>Other</t>
  </si>
  <si>
    <t xml:space="preserve">      - Otros</t>
  </si>
  <si>
    <t>Foreign currencies</t>
  </si>
  <si>
    <t xml:space="preserve">  . Moneda extranjera</t>
  </si>
  <si>
    <t>Debt certificates and subordinated liabilities</t>
  </si>
  <si>
    <t>Valores negociables y pasivos subordinados</t>
  </si>
  <si>
    <t>Equity</t>
  </si>
  <si>
    <t>Total liabilities and equity</t>
  </si>
  <si>
    <t>Net interest income/Average total assets (ATA)</t>
  </si>
  <si>
    <t>Margen de intereses/activos totales medios (ATM)</t>
  </si>
  <si>
    <r>
      <t>(1) I</t>
    </r>
    <r>
      <rPr>
        <sz val="8"/>
        <rFont val="Arial"/>
        <family val="2"/>
      </rPr>
      <t>n the fourth quarter of 2011, there was an extraordinary provision and a charge for goodwill impairment in the United States.</t>
    </r>
  </si>
  <si>
    <t xml:space="preserve">(*) En 2011, en el cuarto trimestre,  cargo por el deterioro del valor del fondo de comercio en Estados Unidos. </t>
  </si>
  <si>
    <t>1st Quarter</t>
  </si>
  <si>
    <r>
      <t>1</t>
    </r>
    <r>
      <rPr>
        <vertAlign val="superscript"/>
        <sz val="10"/>
        <rFont val="Tahoma"/>
        <family val="2"/>
      </rPr>
      <t>er</t>
    </r>
    <r>
      <rPr>
        <sz val="10"/>
        <rFont val="Tahoma"/>
        <family val="2"/>
      </rPr>
      <t xml:space="preserve"> Trim. </t>
    </r>
  </si>
  <si>
    <t>2nd Quarter</t>
  </si>
  <si>
    <t>3rd Quarter</t>
  </si>
  <si>
    <r>
      <t>3</t>
    </r>
    <r>
      <rPr>
        <vertAlign val="superscript"/>
        <sz val="10"/>
        <rFont val="Tahoma"/>
        <family val="2"/>
      </rPr>
      <t>er</t>
    </r>
    <r>
      <rPr>
        <sz val="10"/>
        <rFont val="Tahoma"/>
        <family val="2"/>
      </rPr>
      <t xml:space="preserve"> Trim. 18</t>
    </r>
  </si>
  <si>
    <t xml:space="preserve">4th Quarter </t>
  </si>
  <si>
    <t xml:space="preserve">2º Trim. </t>
  </si>
  <si>
    <r>
      <t>3</t>
    </r>
    <r>
      <rPr>
        <vertAlign val="superscript"/>
        <sz val="10"/>
        <rFont val="Tahoma"/>
        <family val="2"/>
      </rPr>
      <t>er</t>
    </r>
    <r>
      <rPr>
        <sz val="10"/>
        <rFont val="Tahoma"/>
        <family val="2"/>
      </rPr>
      <t xml:space="preserve"> Trim. 17</t>
    </r>
  </si>
  <si>
    <t>4th Quarter</t>
  </si>
  <si>
    <t xml:space="preserve">4º Trim. </t>
  </si>
  <si>
    <t>% of ATA</t>
  </si>
  <si>
    <t>% s/ATM</t>
  </si>
  <si>
    <t>% yield/Cost</t>
  </si>
  <si>
    <t>% Rdto./Coste</t>
  </si>
  <si>
    <r>
      <t>Adjusted</t>
    </r>
    <r>
      <rPr>
        <vertAlign val="superscript"/>
        <sz val="7.6"/>
        <rFont val="Arial"/>
        <family val="2"/>
      </rPr>
      <t>(**)</t>
    </r>
  </si>
  <si>
    <r>
      <t>Ajustes</t>
    </r>
    <r>
      <rPr>
        <vertAlign val="superscript"/>
        <sz val="7.6"/>
        <rFont val="Arial"/>
        <family val="2"/>
      </rPr>
      <t>(**)</t>
    </r>
  </si>
  <si>
    <r>
      <t xml:space="preserve">Net attributable profit from ongoing operations </t>
    </r>
    <r>
      <rPr>
        <vertAlign val="superscript"/>
        <sz val="7.6"/>
        <rFont val="Arial"/>
        <family val="2"/>
      </rPr>
      <t>(***)</t>
    </r>
  </si>
  <si>
    <r>
      <t xml:space="preserve">Beneficio atribuido al Grupo de operaciones continuadas </t>
    </r>
    <r>
      <rPr>
        <vertAlign val="superscript"/>
        <sz val="7.6"/>
        <rFont val="Arial"/>
        <family val="2"/>
      </rPr>
      <t>(***)</t>
    </r>
  </si>
  <si>
    <t>(Million of euros as of 30-06-18)</t>
  </si>
  <si>
    <t xml:space="preserve"> (Millones de euros a 30-06-18)</t>
  </si>
  <si>
    <t>Gross Value</t>
  </si>
  <si>
    <t>Importe del riesgo bruto</t>
  </si>
  <si>
    <t>Provision</t>
  </si>
  <si>
    <t>Provisiones</t>
  </si>
  <si>
    <t>% Coverage over risk</t>
  </si>
  <si>
    <t>%  cobertura sobre riesgo</t>
  </si>
  <si>
    <t>NPL + Substandard</t>
  </si>
  <si>
    <t>Dudosos más subestándar</t>
  </si>
  <si>
    <t xml:space="preserve">  NPL</t>
  </si>
  <si>
    <t xml:space="preserve">  Dudosos</t>
  </si>
  <si>
    <t xml:space="preserve">  Substandard</t>
  </si>
  <si>
    <t xml:space="preserve">  Subestándar</t>
  </si>
  <si>
    <t>Foreclosed real-estate and other assets</t>
  </si>
  <si>
    <t>Inmuebles adjudicados y otros activos</t>
  </si>
  <si>
    <t xml:space="preserve">  From real-estate developers</t>
  </si>
  <si>
    <t xml:space="preserve">  Procedentes de finalidad inmobiliaria</t>
  </si>
  <si>
    <t xml:space="preserve">  From dwellings</t>
  </si>
  <si>
    <t xml:space="preserve">  Procedentes de financiación a adquisición de vivienda</t>
  </si>
  <si>
    <t xml:space="preserve">  Other</t>
  </si>
  <si>
    <t xml:space="preserve">  Resto de activos</t>
  </si>
  <si>
    <t>Subtotal</t>
  </si>
  <si>
    <t>Foreclosed assets</t>
  </si>
  <si>
    <t>Adjudicados</t>
  </si>
  <si>
    <t xml:space="preserve">  With collateral</t>
  </si>
  <si>
    <t xml:space="preserve">  Con garantía hipotecaria</t>
  </si>
  <si>
    <t xml:space="preserve">    Finished properties</t>
  </si>
  <si>
    <t xml:space="preserve">    Edificios terminados</t>
  </si>
  <si>
    <t xml:space="preserve">    Construction in progress</t>
  </si>
  <si>
    <t xml:space="preserve">    Edificios en construcción</t>
  </si>
  <si>
    <t xml:space="preserve">    Land</t>
  </si>
  <si>
    <t xml:space="preserve">    Suelo</t>
  </si>
  <si>
    <t xml:space="preserve">  Without collateral and other</t>
  </si>
  <si>
    <t xml:space="preserve">  Sin garantía hipotecaria y otros</t>
  </si>
  <si>
    <t>Real-estate exposure</t>
  </si>
  <si>
    <t>Exposición Inmobiliaria</t>
  </si>
  <si>
    <t>Coverage of real-estate exposure</t>
  </si>
  <si>
    <t xml:space="preserve">Cobertura de la exposición inmobiliaria </t>
  </si>
  <si>
    <t>Print</t>
  </si>
  <si>
    <t>Imprimir</t>
  </si>
  <si>
    <t>BBVA Real Estate</t>
  </si>
  <si>
    <r>
      <rPr>
        <sz val="7.6"/>
        <rFont val="Arial"/>
        <family val="2"/>
      </rPr>
      <t>Memorandum Item:</t>
    </r>
    <r>
      <rPr>
        <sz val="8"/>
        <rFont val="Arial"/>
        <family val="2"/>
      </rPr>
      <t xml:space="preserve"> Consolidated income statement before ongoing/discounted operations </t>
    </r>
    <r>
      <rPr>
        <vertAlign val="superscript"/>
        <sz val="8"/>
        <rFont val="Arial"/>
        <family val="2"/>
      </rPr>
      <t>(**)</t>
    </r>
  </si>
  <si>
    <r>
      <t xml:space="preserve">Promemoria: Cuentas de resultados consolidadas antes de operaciones continuadas/interrumpidas </t>
    </r>
    <r>
      <rPr>
        <vertAlign val="superscript"/>
        <sz val="7.6"/>
        <rFont val="Arial"/>
        <family val="2"/>
      </rPr>
      <t>(**)</t>
    </r>
  </si>
  <si>
    <t>(**) Not considering pension business in Latin America as discontinued operations</t>
  </si>
  <si>
    <t>(**) Sin considerar el negocio previsional en Latinoamérica como operaciones interrumpidas</t>
  </si>
  <si>
    <t>Net income from ongoing operations</t>
  </si>
  <si>
    <t>Beneficio después de impuestos de operaciones continuadas</t>
  </si>
  <si>
    <t>Result from corporate operations</t>
  </si>
  <si>
    <r>
      <t>Resultado de operaciones corporativas</t>
    </r>
    <r>
      <rPr>
        <vertAlign val="superscript"/>
        <sz val="8"/>
        <rFont val="Arial"/>
        <family val="2"/>
      </rPr>
      <t>(*)</t>
    </r>
  </si>
  <si>
    <t>Banking business</t>
  </si>
  <si>
    <t>Actividad bancaria</t>
  </si>
  <si>
    <r>
      <t>Banking business</t>
    </r>
    <r>
      <rPr>
        <vertAlign val="superscript"/>
        <sz val="7.6"/>
        <rFont val="Arial"/>
        <family val="2"/>
      </rPr>
      <t>(*)</t>
    </r>
  </si>
  <si>
    <r>
      <t>Actividad bancaria</t>
    </r>
    <r>
      <rPr>
        <vertAlign val="superscript"/>
        <sz val="7.6"/>
        <rFont val="Arial"/>
        <family val="2"/>
      </rPr>
      <t>(*)</t>
    </r>
  </si>
  <si>
    <r>
      <t>BBVA Real Estate</t>
    </r>
    <r>
      <rPr>
        <vertAlign val="superscript"/>
        <sz val="7.6"/>
        <rFont val="Arial"/>
        <family val="2"/>
      </rPr>
      <t>(*)</t>
    </r>
  </si>
  <si>
    <t xml:space="preserve">(*)  In 2012 impairment charge related to the deterioration of the real-estate sector in Spain. </t>
  </si>
  <si>
    <t>(*) En  2012, cargo por el deterioro de los activos relacionados con el negocio inmobiliario.</t>
  </si>
  <si>
    <t>Eurasia</t>
  </si>
  <si>
    <t xml:space="preserve">(*) Financial statements with the assets and liabilities of the Garanti Group consolidated in proportion to the percentage of the Group's stake. </t>
  </si>
  <si>
    <t xml:space="preserve">(*)  Estados financieros con los activos y pasivos de Garanti Group integrados en la proporción correspondiente al porcentaje de participación del Grupo. </t>
  </si>
  <si>
    <r>
      <t xml:space="preserve">Corporate Center </t>
    </r>
    <r>
      <rPr>
        <vertAlign val="superscript"/>
        <sz val="7.6"/>
        <rFont val="Arial"/>
        <family val="2"/>
      </rPr>
      <t>(*)</t>
    </r>
  </si>
  <si>
    <r>
      <t xml:space="preserve">Centro corporativo </t>
    </r>
    <r>
      <rPr>
        <vertAlign val="superscript"/>
        <sz val="7.6"/>
        <rFont val="Arial"/>
        <family val="2"/>
      </rPr>
      <t>(*)</t>
    </r>
  </si>
  <si>
    <t xml:space="preserve">(*) In 2012, impairment charge related to the deterioration of the real-estate sector in Spain and impact of Unnim badwill. </t>
  </si>
  <si>
    <r>
      <t xml:space="preserve">(*) Ajustado del negocio previsional y abono por el </t>
    </r>
    <r>
      <rPr>
        <i/>
        <sz val="7.6"/>
        <rFont val="Arial"/>
        <family val="2"/>
      </rPr>
      <t>badwill</t>
    </r>
    <r>
      <rPr>
        <sz val="8"/>
        <rFont val="Arial"/>
        <family val="2"/>
      </rPr>
      <t xml:space="preserve"> de Unimm.</t>
    </r>
  </si>
  <si>
    <t>Non Core Real Estate</t>
  </si>
  <si>
    <r>
      <t>Real-estate activity in Spain</t>
    </r>
    <r>
      <rPr>
        <vertAlign val="superscript"/>
        <sz val="7.6"/>
        <rFont val="Arial"/>
        <family val="2"/>
      </rPr>
      <t>(*)</t>
    </r>
  </si>
  <si>
    <r>
      <t>Actividad inmobiliaria en España</t>
    </r>
    <r>
      <rPr>
        <vertAlign val="superscript"/>
        <sz val="7.6"/>
        <rFont val="Arial"/>
        <family val="2"/>
      </rPr>
      <t>(*)</t>
    </r>
  </si>
  <si>
    <t>Note: Transparency scope according to Bank of Spain Circular 5/2011 dated November 30.</t>
  </si>
  <si>
    <t>Nota: Perímetro de transparencia según la Circular 5/2011 del 30 de noviembre del Banco de España.</t>
  </si>
  <si>
    <t>(*) Adjusted based on the reinsurance operation on the individual life-risk insurance portfolio in Spain</t>
  </si>
  <si>
    <t>(*) Ajustado de la operación de reaseguro sobre la cartera de vida-riesgo individual.</t>
  </si>
  <si>
    <t>(*) Adjusted based on the profit from the pension business.</t>
  </si>
  <si>
    <t>(*) Ajustado del beneficio del negocio previsional.</t>
  </si>
  <si>
    <t>(**) Excluding repos and including specific marketable debt securities.</t>
  </si>
  <si>
    <t>(**) No incluye las cesiones temporales de activos e incluye determinados valores negociables.</t>
  </si>
  <si>
    <t xml:space="preserve"> </t>
  </si>
  <si>
    <t>(**) No incluye las cesiones temporales de activos.</t>
  </si>
  <si>
    <t>(*) Includes area's repos in Mexico.</t>
  </si>
  <si>
    <t>(*) Incluye las cesiones temporales de activos del área en México.</t>
  </si>
  <si>
    <t>(*) Including all the repos.</t>
  </si>
  <si>
    <t>(*) Incluye la totalidad de las cesiones temporales de activos.</t>
  </si>
  <si>
    <t>(**) Adjusted based on the result of real-estate activity in Spain, the profit from the pension business in Latin America, the badwill from Unnim, the reinsurance operation on the individual life-risk insurance portfolio in Spain and and of the new classification of refinanced loans.</t>
  </si>
  <si>
    <r>
      <t xml:space="preserve">(**) Ajustado del resultado de la actividad inmobiliaria en España, del beneficio del negocio previsional en Latinoamerica, del </t>
    </r>
    <r>
      <rPr>
        <i/>
        <sz val="7.6"/>
        <rFont val="Arial"/>
        <family val="2"/>
      </rPr>
      <t>badwill</t>
    </r>
    <r>
      <rPr>
        <sz val="8"/>
        <rFont val="Arial"/>
        <family val="2"/>
      </rPr>
      <t xml:space="preserve"> de Unnim, de la operación de reaseguro sobre la cartera de vida-riesgo individual de España y de la nueva clasificación de los créditos refinanciados.</t>
    </r>
  </si>
  <si>
    <t>(*) From the third quarter of 2015, BBVA’s total stake in Garanti is consolidated by the full integration method. For previous periods, Garanti’s revenues and costs are integrated in the proportion corresponding to the percentage of the Group’s stake then (25.01%).</t>
  </si>
  <si>
    <t>(*) Desde el tercer trimestre de 2015, la participación total de BBVA en Garanti se consolida por el método de la integración global. Para períodos anteriores, los ingresos y gastos de Garanti se integran en la proporción correspondiente al porcentaje de participación que el Grupo mantenía hasta entonces (25,01%).</t>
  </si>
  <si>
    <t>Consolidated income statement (*)</t>
  </si>
  <si>
    <t>Cuentas de resultados consolidadas (*)</t>
  </si>
  <si>
    <t>Customer deposits under management (**)</t>
  </si>
  <si>
    <t xml:space="preserve">Balance sheet (*)  </t>
  </si>
  <si>
    <t>Balances (*)</t>
  </si>
  <si>
    <t>(**) Excluding repos.</t>
  </si>
  <si>
    <t xml:space="preserve">Turkey </t>
  </si>
  <si>
    <t xml:space="preserve">Turquía </t>
  </si>
  <si>
    <t>Net attributable profit from ongoin operations</t>
  </si>
  <si>
    <t>Beneficio atribuido al Grupo de operaciones continuadas</t>
  </si>
  <si>
    <t>(*) Including repos.</t>
  </si>
  <si>
    <t>(*) Incluye las cesiones temporales de activos.</t>
  </si>
  <si>
    <t>(*) Excluding repos.</t>
  </si>
  <si>
    <t>(*) No incluye las cesiones temporales de activos.</t>
  </si>
  <si>
    <t>Loans under management (*)</t>
  </si>
  <si>
    <t>Inversión en gestión (*)</t>
  </si>
  <si>
    <t>. Debt securities</t>
  </si>
  <si>
    <t>. Valores representativos de deuda</t>
  </si>
  <si>
    <t xml:space="preserve">   Brazil</t>
  </si>
  <si>
    <t xml:space="preserve">   Brasil</t>
  </si>
  <si>
    <t>BBVA Group with Turkey presented on a like-for-like comparison. Consolidated income statements (*)</t>
  </si>
  <si>
    <t>Grupo BBVA con Turquía en términos homogéneos. Cuentas de resultados consolidadas (*)</t>
  </si>
  <si>
    <t>Income statement (*)</t>
  </si>
  <si>
    <t>Cuentas de resultados (*)</t>
  </si>
  <si>
    <t>South America without Venezuela</t>
  </si>
  <si>
    <t>América del Sur sin Venezuela</t>
  </si>
  <si>
    <t>Yields and costs</t>
  </si>
  <si>
    <t>Rendimientos y costes</t>
  </si>
  <si>
    <t xml:space="preserve">(*) Excluding repos. </t>
  </si>
  <si>
    <t>(*) No incluye las adquisiciones temporales de activos.</t>
  </si>
  <si>
    <t>Other off balance-sheet funds</t>
  </si>
  <si>
    <t>Otros recursos fuera de balance</t>
  </si>
  <si>
    <t>Turkey presented in comparable terms (*)</t>
  </si>
  <si>
    <t>Turquía en términos homogéneos (*)</t>
  </si>
  <si>
    <t xml:space="preserve">(*) Since the third quarter of 2015, BBVA's total stake in Garanti is consolidated by the full integration method. </t>
  </si>
  <si>
    <t xml:space="preserve">(*) Desde el tercer trimestre de 2015, la participación total de BBVA en Garanti se consolida por el método de integración global. </t>
  </si>
  <si>
    <t>(*) Garanti's financial statements integrated in the proportion corresponding to the percentage of the Group's stake (25.01%) until the second quarter of 2016.</t>
  </si>
  <si>
    <t>(*) Estados financieros de Garanti integrados en la proporción correspondiente al porcentaje de participación (25,01%) que el Grupo tenía hasta el segundo trimestre de 2016.</t>
  </si>
  <si>
    <t>Loans and advances to customers gross (*)</t>
  </si>
  <si>
    <t>Crédito a la clientela bruto (*)</t>
  </si>
  <si>
    <t>Depósitos de clientes en gestión (**)</t>
  </si>
  <si>
    <t>(*) From the third quarter of 2015, BBVA’s total stake in Garanti is consolidated by the full integration method. For previous periods, Garanti’s assets and liabilities are integrated in the proportion corresponding to the percentage of the Group’s stake then (25.01%).</t>
  </si>
  <si>
    <t>(*) Desde el tercer trimestre de 2015, la participación total de BBVA en Garanti se consolida por el método de integración global. Para períodos anteriores, los activos y pasivos de Garanti se integran en la proporción correspondiente al porcentaje de participación que el Grupo mantenía hasta entonces (25,01%).</t>
  </si>
  <si>
    <t>(*) 2015 includes the capital gains from the various sale operations equivalent to 6.34% of BBVA Group’s stake in CNCB, the badwill from the CX operation, the effect of the valuation at fair value of the 25.01% initial stake held by BBVA in Garanti, and the impact of the sale of BBVA’s 29.68% stake in CIFH.</t>
  </si>
  <si>
    <t>(*) 2015 incorpora las plusvalías procedentes de las distintas operaciones de venta equivalentes a un 6,34% de la participación del Grupo BBVA en CNCB, el badwill generado por la operación de CX, el efecto de la puesta a valor razonable de la participación inicial del 25,01% en Garanti y el impacto procedente de la venta de la participación del 29,68% en CIFH.</t>
  </si>
  <si>
    <t>Turkey (*)</t>
  </si>
  <si>
    <t>Turquía (*)</t>
  </si>
  <si>
    <t>(*) Garanti’s financial statements integrated in the proportion corresponding to the percentage of the Group’s stake (25.01%) until the second quarter of 2015.</t>
  </si>
  <si>
    <t>(*) Estados financieros de Garanti integrados en la proporción correspondiente al porcentaje de participación (25,01%) que el Grupo tenía hasta el segundo trimestre de 2015.</t>
  </si>
  <si>
    <t>(Local currency; Millions)</t>
  </si>
  <si>
    <t>(Moneda local; Millones)</t>
  </si>
  <si>
    <t>(Million U.S. dollars)</t>
  </si>
  <si>
    <t>(Millones de dólares estadounidenses)</t>
  </si>
  <si>
    <t>Customer Spreads (*)</t>
  </si>
  <si>
    <t>Diferenciales de la clientela (*)</t>
  </si>
  <si>
    <t>(*) Difference between lending yield on loans and cost of deposits from customers.</t>
  </si>
  <si>
    <t>(*) Diferencia entre el rendimiento de los préstamos y el coste de los depósitos de los clientes.</t>
  </si>
  <si>
    <t>(**) Excluding New York Business Activity.</t>
  </si>
  <si>
    <t>(**)  Excluye la actividad en Nueva York.</t>
  </si>
  <si>
    <t>The United States (**)</t>
  </si>
  <si>
    <t>Estados Unidos (**)</t>
  </si>
  <si>
    <t>(Percentage)</t>
  </si>
  <si>
    <t>(Porcentaje)</t>
  </si>
  <si>
    <t>Customer Spreads</t>
  </si>
  <si>
    <t>Diferenciales de la clientela</t>
  </si>
  <si>
    <t>(Million Mexican pesos)</t>
  </si>
  <si>
    <t>(Millones de pesos mexicanos)</t>
  </si>
  <si>
    <t>(Million Argentinean pesos)</t>
  </si>
  <si>
    <t>(Millones de pesos argentinos)</t>
  </si>
  <si>
    <t>(Million Chilean pesos)</t>
  </si>
  <si>
    <t>(Millones de pesos chilenos)</t>
  </si>
  <si>
    <t>(Million Colombian pesos)</t>
  </si>
  <si>
    <t>(Millones de pesos colombianos)</t>
  </si>
  <si>
    <t>(Million Peruvian soles)</t>
  </si>
  <si>
    <t>(Millones de soles peruanos)</t>
  </si>
  <si>
    <t>(Million Venezuelan bolivares fuertes)</t>
  </si>
  <si>
    <t>(Millones de bolívares fuertes venezolanos)</t>
  </si>
  <si>
    <t>(Million Turkish liras)</t>
  </si>
  <si>
    <t>(Millones de liras turcas)</t>
  </si>
  <si>
    <t>BBVA Group with Turkey presented in comparable terms (*)</t>
  </si>
  <si>
    <t>Grupo BBVA con Turquía en términos homogéneos (*)</t>
  </si>
  <si>
    <t xml:space="preserve">BBVA Group. Consolidated Income statement </t>
  </si>
  <si>
    <t xml:space="preserve">Result from corporate operations </t>
  </si>
  <si>
    <t>Resultado de operaciones corporativas</t>
  </si>
  <si>
    <t>(***) Corresponds to the attributable profit excluding results from corporate operations.</t>
  </si>
  <si>
    <t>(***) Corresponde al beneficio atribuido sin el resultado de operaciones corporativas.</t>
  </si>
  <si>
    <t>Result from corporate operations (*)</t>
  </si>
  <si>
    <t>Resultado de operaciones corporativas (*)</t>
  </si>
  <si>
    <t>(*) 2015 includes the capital gains from the various sale operations equivalent to 6.34% of BBVA Group’s stake in CNCB, the badwill from the CX operation, the effect of the valuation at fair value of the 25.01% initial stake held by BBVA in Garanti and  the impact of the sale of BBVA’s 29.68% stake in CIFH.</t>
  </si>
  <si>
    <t xml:space="preserve">Attributable profit without corporate transactions (*) </t>
  </si>
  <si>
    <t>Beneficio atribuido al Grupo (sin el resultado de operaciones corporativas) (*)</t>
  </si>
  <si>
    <t>(**) Corresponds to the attributable profit excluding results from corporate operations.</t>
  </si>
  <si>
    <t>(**) Corresponde al beneficio atribuido sin el resultado de operaciones corporativas.</t>
  </si>
  <si>
    <t>(*) Garanti’s financial statements integrated by the full integration method since January 1, 2015, without involving a change of the data already published.</t>
  </si>
  <si>
    <t xml:space="preserve"> (*) Estados financieros de Garanti calculados por el método de la integración global desde el 1 de enero de 2015, sin que esto implique un cambio de los datos ya publicados.</t>
  </si>
  <si>
    <t>Income statement</t>
  </si>
  <si>
    <t>Cuentas de resultados</t>
  </si>
  <si>
    <t>Balance sheet</t>
  </si>
  <si>
    <t>BBVA Group with Turkey presented in comparable terms</t>
  </si>
  <si>
    <t>Grupo BBVA con Turquía en términos homogéneos</t>
  </si>
  <si>
    <t>Turkey presented in comparable terms</t>
  </si>
  <si>
    <t>Turquía en términos homogéneos</t>
  </si>
  <si>
    <t>Jan.-Mar. 16</t>
  </si>
  <si>
    <t>Enero-Mar. 16</t>
  </si>
  <si>
    <t>Jan.-Mar. 17</t>
  </si>
  <si>
    <t>Enero-Mar. 17</t>
  </si>
  <si>
    <t>Risk-weighted assets. Breakdown by business areas and main countries</t>
  </si>
  <si>
    <t>Activos ponderados por riesgo. Desglose por áreas de negocio y principales países</t>
  </si>
  <si>
    <t>Rest of South America</t>
  </si>
  <si>
    <t>Resto de América del Sur</t>
  </si>
  <si>
    <t>CRD IV fully-loaded</t>
  </si>
  <si>
    <r>
      <t>CRD IV</t>
    </r>
    <r>
      <rPr>
        <i/>
        <sz val="8"/>
        <rFont val="Arial"/>
        <family val="2"/>
      </rPr>
      <t xml:space="preserve"> fully-loaded</t>
    </r>
  </si>
  <si>
    <t>Main headings of the balance sheet  (*)</t>
  </si>
  <si>
    <t>Principales líneas del balance (*)</t>
  </si>
  <si>
    <t>Cuba</t>
  </si>
  <si>
    <t>Yield on Loans</t>
  </si>
  <si>
    <t xml:space="preserve"> Inversión Rentable</t>
  </si>
  <si>
    <t>Cost of Deposits</t>
  </si>
  <si>
    <t xml:space="preserve"> Recursos Clientes</t>
  </si>
  <si>
    <t>Oli &amp; Gas sector exposure breakdown</t>
  </si>
  <si>
    <t>Detalle de la exposición al sector Oil &amp; Gas</t>
  </si>
  <si>
    <t>March 2017</t>
  </si>
  <si>
    <t>Marzo 2017</t>
  </si>
  <si>
    <t>Exposure</t>
  </si>
  <si>
    <t>Exposición</t>
  </si>
  <si>
    <t>Rating</t>
  </si>
  <si>
    <t>Subsegment</t>
  </si>
  <si>
    <t>Subsegmento</t>
  </si>
  <si>
    <t>Unfunded exposure</t>
  </si>
  <si>
    <t>Exposición comprometida no dispuesta</t>
  </si>
  <si>
    <t>Funded</t>
  </si>
  <si>
    <t>Comprometida dispuesta</t>
  </si>
  <si>
    <t>€ BN</t>
  </si>
  <si>
    <t>% Credit risk</t>
  </si>
  <si>
    <t>% Riesgo de crédito</t>
  </si>
  <si>
    <t>% IG</t>
  </si>
  <si>
    <t>%NIG</t>
  </si>
  <si>
    <t>%NPLs</t>
  </si>
  <si>
    <t>Up stream</t>
  </si>
  <si>
    <t>Mid stream</t>
  </si>
  <si>
    <t>Down stream</t>
  </si>
  <si>
    <t>Integrated</t>
  </si>
  <si>
    <t>Others</t>
  </si>
  <si>
    <t>Otros</t>
  </si>
  <si>
    <t>Group</t>
  </si>
  <si>
    <t>Grupo</t>
  </si>
  <si>
    <t>The United States: BBVA Compass + New York branch</t>
  </si>
  <si>
    <t>Estados Unidos: BBVA Compass + sucursal de Nueva York</t>
  </si>
  <si>
    <t>BBVA Compass</t>
  </si>
  <si>
    <t>New York branch</t>
  </si>
  <si>
    <t>Sucursal de Nueva York</t>
  </si>
  <si>
    <t>(*) Until 30-03-2016 Turkey data includes the representative office of BBVA.</t>
  </si>
  <si>
    <t>(*) Hasta el 30-03-2016 los datos de Turquía incluyen la oficina de representación de BBVA.</t>
  </si>
  <si>
    <t>Mortgages</t>
  </si>
  <si>
    <t>Hipotecario</t>
  </si>
  <si>
    <t>Consumer and credit cards</t>
  </si>
  <si>
    <t>Consumo y tarjetas de crédito</t>
  </si>
  <si>
    <t>Public sector</t>
  </si>
  <si>
    <t>Sector público</t>
  </si>
  <si>
    <t>Corporates</t>
  </si>
  <si>
    <t>Banca corporativa</t>
  </si>
  <si>
    <t>Other commercial</t>
  </si>
  <si>
    <t>Resto de empresas</t>
  </si>
  <si>
    <t>Very small businesses</t>
  </si>
  <si>
    <t>Negocios retail</t>
  </si>
  <si>
    <t>Performing loans under management (*)</t>
  </si>
  <si>
    <t>Crédito no dudoso en gestión (*)</t>
  </si>
  <si>
    <t>SMEs</t>
  </si>
  <si>
    <t>Pymes</t>
  </si>
  <si>
    <t>Retail loans</t>
  </si>
  <si>
    <t>Minoristas</t>
  </si>
  <si>
    <t>Credit cards</t>
  </si>
  <si>
    <t>Tarjetas de crédito</t>
  </si>
  <si>
    <t>Business banking</t>
  </si>
  <si>
    <t>Empresas</t>
  </si>
  <si>
    <t>Performing loans under management excludin repos</t>
  </si>
  <si>
    <t>Inversión no dudosa en gestión sin atas</t>
  </si>
  <si>
    <t>Consumer</t>
  </si>
  <si>
    <t>Consumo</t>
  </si>
  <si>
    <t>Breakdown of performing loans under management</t>
  </si>
  <si>
    <t>Desglose del crédito no dudoso en gestión</t>
  </si>
  <si>
    <t>Breakdown of customer funds under management</t>
  </si>
  <si>
    <t>Desglose de los recursos de clientes en gestión</t>
  </si>
  <si>
    <t>Demand deposits</t>
  </si>
  <si>
    <t>Depósitos a la vista</t>
  </si>
  <si>
    <t>Time deposits</t>
  </si>
  <si>
    <t>Depósitos a plazo</t>
  </si>
  <si>
    <t>Off balance sheet funds (*)</t>
  </si>
  <si>
    <t>Recursos fuera de balance (*)</t>
  </si>
  <si>
    <t>Customer funds under management (**)</t>
  </si>
  <si>
    <t>Recursos de clientes en gestión (**)</t>
  </si>
  <si>
    <t>Mutual and pension funds</t>
  </si>
  <si>
    <t>Fondos de inversión y pensiones</t>
  </si>
  <si>
    <t>(*) Includes mutual funds, pension funds and other off-balance sheet funds.</t>
  </si>
  <si>
    <t>(*) Incluye fondos de inversión, fondos de pensiones y otros recursos fuera de balance.</t>
  </si>
  <si>
    <t>Financial assets at amortized cost</t>
  </si>
  <si>
    <t>Activos financieros a coste amortizado</t>
  </si>
  <si>
    <t>Net exposure</t>
  </si>
  <si>
    <t>Exposición neta</t>
  </si>
  <si>
    <t>Other real-estate assets (2)</t>
  </si>
  <si>
    <t>Otros activos inmobiliarios (2)</t>
  </si>
  <si>
    <t>(1) Compared to Bank of Spain's Transparency scope (Circular 5/2011 dated November 30), real-estate developer loans do not include €2.3 Bn (June 2018) mainly related performing loans to developers transferred to the Banking activity in Spain area.</t>
  </si>
  <si>
    <t>(1) Comparado con el perímetro de transparencia (Circular 5/2011 del 30 de noviembre del Banco de España), el crédito promotor no incluye 2,3 miles de millones de euros (junio del 2018) relacionados, principalmente, con la cartera no dudosa transferida al área de Actividad bancaria en España.</t>
  </si>
  <si>
    <t>(2) Other real-estate assets not originated from foreclosures.</t>
  </si>
  <si>
    <t>(2) Otros activos inmobiliarios no procedentes de adjudicados.</t>
  </si>
  <si>
    <t>Real-estate developer loans (1)</t>
  </si>
  <si>
    <t>Crédito promotor (1)</t>
  </si>
  <si>
    <t xml:space="preserve">Performing </t>
  </si>
  <si>
    <t>Riesgo vivo</t>
  </si>
  <si>
    <t>∆% on</t>
  </si>
  <si>
    <t>∆% sobre</t>
  </si>
  <si>
    <t>1Q16</t>
  </si>
  <si>
    <t>1er Trim. 16</t>
  </si>
  <si>
    <t>1Q17</t>
  </si>
  <si>
    <t>1er Trim. 17</t>
  </si>
  <si>
    <t>1H16</t>
  </si>
  <si>
    <t>1er Sem. 16</t>
  </si>
  <si>
    <t>Turkey TRY</t>
  </si>
  <si>
    <t>Turquía liras turcas</t>
  </si>
  <si>
    <t>Turkey FC (Foreing currency)</t>
  </si>
  <si>
    <t>Turquía moneda extranjera</t>
  </si>
  <si>
    <t>Note: Customer spreads have been restated.</t>
  </si>
  <si>
    <t>Nota: Los diferenciales de la clientela han sido actualizados.</t>
  </si>
  <si>
    <t>Mexico MXN</t>
  </si>
  <si>
    <t>México pesos mexicanos</t>
  </si>
  <si>
    <t>Mexico  FC (Foreing currency)</t>
  </si>
  <si>
    <t>México moneda extranjera</t>
  </si>
  <si>
    <t>Financial assets at fair value through accumulated other comprehensive income</t>
  </si>
  <si>
    <t>Activos financieros designados a valor razonable con cambios en otro resultado global acumulado</t>
  </si>
  <si>
    <t>Result after continuing operation tax</t>
  </si>
  <si>
    <t>Resultado después de impuestos de operaciones continuadas</t>
  </si>
  <si>
    <t>(Million of euros as of 30-09-18)</t>
  </si>
  <si>
    <t xml:space="preserve"> (Millones de euros a 30-09-18)</t>
  </si>
  <si>
    <t>CIB</t>
  </si>
  <si>
    <t>-</t>
  </si>
  <si>
    <t>0</t>
  </si>
  <si>
    <t xml:space="preserve"> Attributable profit without corporate transactions </t>
  </si>
  <si>
    <t>Resultado atribuido sin operaciones corporativas</t>
  </si>
  <si>
    <r>
      <rPr>
        <vertAlign val="superscript"/>
        <sz val="8"/>
        <rFont val="Arial"/>
        <family val="2"/>
      </rPr>
      <t>(*)</t>
    </r>
    <r>
      <rPr>
        <sz val="8"/>
        <rFont val="Arial"/>
        <family val="2"/>
      </rPr>
      <t xml:space="preserve"> Includes net capital gains from the sale of BBVA Chile.</t>
    </r>
  </si>
  <si>
    <r>
      <rPr>
        <vertAlign val="superscript"/>
        <sz val="8"/>
        <rFont val="Arial"/>
        <family val="2"/>
      </rPr>
      <t>(*)</t>
    </r>
    <r>
      <rPr>
        <sz val="8"/>
        <rFont val="Arial"/>
        <family val="2"/>
      </rPr>
      <t xml:space="preserve"> Incluye plusvalías netas de la venta de BBVA Chile.</t>
    </r>
  </si>
  <si>
    <t>9M 18</t>
  </si>
  <si>
    <t>9M 17</t>
  </si>
  <si>
    <t>1er Trim.</t>
  </si>
  <si>
    <t>3er Trim.</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</si>
</sst>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 #,##0.00\ &quot;€&quot;_-;\-* #,##0.00\ &quot;€&quot;_-;_-* &quot;-&quot;??\ &quot;€&quot;_-;_-@_-"/>
    <numFmt numFmtId="43" formatCode="_-* #,##0.00\ _€_-;\-* #,##0.00\ _€_-;_-* &quot;-&quot;??\ _€_-;_-@_-"/>
    <numFmt numFmtId="164" formatCode="&quot;$&quot;#,##0\ ;\(&quot;$&quot;#,##0\)"/>
    <numFmt numFmtId="165" formatCode="#,##0,"/>
    <numFmt numFmtId="166" formatCode="#,##0.0,,"/>
    <numFmt numFmtId="167" formatCode="#,###,##0.00;\(#,###,##0.00\)"/>
    <numFmt numFmtId="168" formatCode="#,###,##0;\(#,###,##0\)"/>
    <numFmt numFmtId="169" formatCode="&quot;$&quot;#,###,##0.00;\(&quot;$&quot;#,###,##0.00\)"/>
    <numFmt numFmtId="170" formatCode="&quot;$&quot;#,###,##0;\(&quot;$&quot;#,###,##0\)"/>
    <numFmt numFmtId="171" formatCode="#,##0.00%;\(#,##0.00%\)"/>
    <numFmt numFmtId="172" formatCode="_(* #,##0.0_);_(* \(#,##0.0\);_(* &quot;-&quot;??_);_(@_)"/>
    <numFmt numFmtId="173" formatCode="_-* #,##0.00\ _P_t_s_-;\-* #,##0.00\ _P_t_s_-;_-* &quot;-&quot;??\ _P_t_s_-;_-@_-"/>
    <numFmt numFmtId="174" formatCode="#,##0.0,;\-#,##0.0,;&quot;--&quot;"/>
    <numFmt numFmtId="175" formatCode="_(&quot;$&quot;* #,##0_);_(&quot;$&quot;* \(#,##0\);_(&quot;$&quot;* &quot;-&quot;_);_(@_)"/>
    <numFmt numFmtId="176" formatCode="_(&quot;$&quot;* #,##0.00_);_(&quot;$&quot;* \(#,##0.00\);_(&quot;$&quot;* &quot;-&quot;??_);_(@_)"/>
    <numFmt numFmtId="177" formatCode="0.00_)"/>
    <numFmt numFmtId="178" formatCode="General_)"/>
    <numFmt numFmtId="179" formatCode="0.0000"/>
    <numFmt numFmtId="180" formatCode="0.000000"/>
    <numFmt numFmtId="181" formatCode="dd\-mm\-yy"/>
    <numFmt numFmtId="182" formatCode="dd\-mm\-yy;@"/>
    <numFmt numFmtId="183" formatCode="_-* #,##0\ _P_t_s_-;\-* #,##0\ _P_t_s_-;_-* &quot;-&quot;??\ _P_t_s_-;_-@_-"/>
    <numFmt numFmtId="184" formatCode="#,##0.0000"/>
    <numFmt numFmtId="185" formatCode="#,##0.0"/>
    <numFmt numFmtId="186" formatCode="0.0"/>
    <numFmt numFmtId="187" formatCode="#,##0.000"/>
    <numFmt numFmtId="188" formatCode="0.0%"/>
    <numFmt numFmtId="189" formatCode="d\-m\-yy;@"/>
    <numFmt numFmtId="190" formatCode="#,##0.00000"/>
  </numFmts>
  <fonts count="114">
    <font>
      <sz val="11"/>
      <color theme="1"/>
      <name val="Calibri"/>
      <family val="2"/>
      <scheme val="minor"/>
    </font>
    <font>
      <sz val="11"/>
      <color theme="1"/>
      <name val="Calibri"/>
      <family val="2"/>
      <scheme val="minor"/>
    </font>
    <font>
      <sz val="8"/>
      <name val="Tahoma"/>
      <family val="2"/>
    </font>
    <font>
      <sz val="10"/>
      <name val="Lucida Sans Unicode"/>
      <family val="2"/>
    </font>
    <font>
      <vertAlign val="superscript"/>
      <sz val="10"/>
      <name val="Stag Sans Medium"/>
      <family val="2"/>
    </font>
    <font>
      <sz val="10"/>
      <name val="Arial"/>
      <family val="2"/>
    </font>
    <font>
      <vertAlign val="superscript"/>
      <sz val="26"/>
      <color theme="1" tint="0.34998626667073579"/>
      <name val="BBVA Office Book"/>
      <family val="2"/>
    </font>
    <font>
      <vertAlign val="superscript"/>
      <sz val="10"/>
      <color indexed="21"/>
      <name val="Stag Sans Medium"/>
      <family val="2"/>
    </font>
    <font>
      <vertAlign val="superscript"/>
      <sz val="22"/>
      <color indexed="21"/>
      <name val="Stag Sans Medium"/>
      <family val="2"/>
    </font>
    <font>
      <vertAlign val="superscript"/>
      <sz val="22"/>
      <color indexed="17"/>
      <name val="BBVA Office Book"/>
      <family val="2"/>
    </font>
    <font>
      <b/>
      <sz val="16"/>
      <name val="Arial"/>
      <family val="2"/>
    </font>
    <font>
      <vertAlign val="superscript"/>
      <sz val="22"/>
      <color theme="3"/>
      <name val="BBVA Office Book"/>
      <family val="2"/>
    </font>
    <font>
      <vertAlign val="superscript"/>
      <sz val="20"/>
      <name val="BBVA Office Book"/>
      <family val="2"/>
    </font>
    <font>
      <vertAlign val="superscript"/>
      <sz val="22"/>
      <color theme="1" tint="0.34998626667073579"/>
      <name val="BBVA Office Book"/>
      <family val="2"/>
    </font>
    <font>
      <vertAlign val="superscript"/>
      <sz val="10"/>
      <color indexed="9"/>
      <name val="Stag Sans Medium"/>
      <family val="2"/>
    </font>
    <font>
      <vertAlign val="superscript"/>
      <sz val="10"/>
      <color indexed="58"/>
      <name val="Stag Sans Medium"/>
      <family val="2"/>
    </font>
    <font>
      <vertAlign val="superscript"/>
      <sz val="20"/>
      <name val="Stag Sans Medium"/>
      <family val="2"/>
    </font>
    <font>
      <sz val="10"/>
      <name val="Baskerville BE Regular"/>
    </font>
    <font>
      <sz val="8"/>
      <name val="Arial"/>
      <family val="2"/>
    </font>
    <font>
      <vertAlign val="superscript"/>
      <sz val="7.6"/>
      <name val="Arial"/>
      <family val="2"/>
    </font>
    <font>
      <vertAlign val="superscript"/>
      <sz val="10"/>
      <name val="Tahoma"/>
      <family val="2"/>
    </font>
    <font>
      <sz val="10"/>
      <name val="Tahoma"/>
      <family val="2"/>
    </font>
    <font>
      <sz val="10"/>
      <name val="Arial"/>
      <family val="2"/>
    </font>
    <font>
      <vertAlign val="superscript"/>
      <sz val="8.5"/>
      <color indexed="18"/>
      <name val="Tahoma"/>
      <family val="2"/>
    </font>
    <font>
      <vertAlign val="superscript"/>
      <sz val="8.5"/>
      <name val="Tahoma"/>
      <family val="2"/>
    </font>
    <font>
      <b/>
      <vertAlign val="superscript"/>
      <sz val="8.5"/>
      <color indexed="18"/>
      <name val="Tahoma"/>
      <family val="2"/>
    </font>
    <font>
      <sz val="7.6"/>
      <name val="Arial"/>
      <family val="2"/>
    </font>
    <font>
      <vertAlign val="superscript"/>
      <sz val="8"/>
      <name val="Arial"/>
      <family val="2"/>
    </font>
    <font>
      <i/>
      <sz val="7.6"/>
      <name val="Arial"/>
      <family val="2"/>
    </font>
    <font>
      <i/>
      <sz val="8"/>
      <name val="Arial"/>
      <family val="2"/>
    </font>
    <font>
      <sz val="9"/>
      <name val="Arial"/>
      <family val="2"/>
    </font>
    <font>
      <b/>
      <sz val="8"/>
      <name val="Arial"/>
      <family val="2"/>
    </font>
    <font>
      <sz val="11"/>
      <color indexed="8"/>
      <name val="Calibri"/>
      <family val="2"/>
    </font>
    <font>
      <sz val="11"/>
      <color indexed="9"/>
      <name val="Calibri"/>
      <family val="2"/>
    </font>
    <font>
      <sz val="11"/>
      <color indexed="20"/>
      <name val="Calibri"/>
      <family val="2"/>
    </font>
    <font>
      <sz val="12"/>
      <name val="Tms Rmn"/>
    </font>
    <font>
      <sz val="10"/>
      <name val="Courier"/>
      <family val="3"/>
    </font>
    <font>
      <sz val="10"/>
      <name val="Helv"/>
    </font>
    <font>
      <b/>
      <sz val="9"/>
      <color indexed="12"/>
      <name val="Tahoma"/>
      <family val="2"/>
    </font>
    <font>
      <b/>
      <sz val="11"/>
      <color indexed="52"/>
      <name val="Calibri"/>
      <family val="2"/>
    </font>
    <font>
      <sz val="10"/>
      <name val="MS Sans Serif"/>
      <family val="2"/>
    </font>
    <font>
      <sz val="12"/>
      <color indexed="24"/>
      <name val="Arial"/>
      <family val="2"/>
    </font>
    <font>
      <i/>
      <sz val="11"/>
      <color indexed="23"/>
      <name val="Calibri"/>
      <family val="2"/>
    </font>
    <font>
      <u/>
      <sz val="10"/>
      <color indexed="20"/>
      <name val="Arial"/>
      <family val="2"/>
    </font>
    <font>
      <sz val="10"/>
      <color indexed="0"/>
      <name val="Arial"/>
      <family val="2"/>
    </font>
    <font>
      <sz val="12"/>
      <name val="Arial MT"/>
    </font>
    <font>
      <sz val="18"/>
      <color indexed="24"/>
      <name val="Arial"/>
      <family val="2"/>
    </font>
    <font>
      <b/>
      <sz val="15"/>
      <color indexed="56"/>
      <name val="Calibri"/>
      <family val="2"/>
    </font>
    <font>
      <sz val="8"/>
      <color indexed="24"/>
      <name val="Arial"/>
      <family val="2"/>
    </font>
    <font>
      <b/>
      <sz val="13"/>
      <color indexed="56"/>
      <name val="Calibri"/>
      <family val="2"/>
    </font>
    <font>
      <b/>
      <sz val="11"/>
      <color indexed="56"/>
      <name val="Calibri"/>
      <family val="2"/>
    </font>
    <font>
      <b/>
      <sz val="18"/>
      <color indexed="24"/>
      <name val="Arial"/>
      <family val="2"/>
    </font>
    <font>
      <b/>
      <sz val="12"/>
      <color indexed="24"/>
      <name val="Arial"/>
      <family val="2"/>
    </font>
    <font>
      <b/>
      <sz val="11"/>
      <name val="Tahoma"/>
      <family val="2"/>
    </font>
    <font>
      <sz val="8"/>
      <name val="Times New Roman"/>
      <family val="1"/>
    </font>
    <font>
      <b/>
      <sz val="10"/>
      <name val="Arial"/>
      <family val="2"/>
    </font>
    <font>
      <sz val="10"/>
      <color indexed="8"/>
      <name val="MS Sans Serif"/>
      <family val="2"/>
    </font>
    <font>
      <sz val="9"/>
      <name val="Geneva"/>
    </font>
    <font>
      <sz val="11"/>
      <color indexed="60"/>
      <name val="Calibri"/>
      <family val="2"/>
    </font>
    <font>
      <sz val="7"/>
      <name val="Small Fonts"/>
      <family val="2"/>
    </font>
    <font>
      <b/>
      <i/>
      <sz val="16"/>
      <name val="Helv"/>
    </font>
    <font>
      <sz val="6"/>
      <name val="Helv"/>
    </font>
    <font>
      <sz val="10"/>
      <color indexed="8"/>
      <name val="Arial"/>
      <family val="2"/>
    </font>
    <font>
      <b/>
      <sz val="11"/>
      <color indexed="63"/>
      <name val="Calibri"/>
      <family val="2"/>
    </font>
    <font>
      <sz val="8"/>
      <color indexed="8"/>
      <name val="Arial"/>
      <family val="2"/>
    </font>
    <font>
      <b/>
      <sz val="8"/>
      <color indexed="8"/>
      <name val="Arial"/>
      <family val="2"/>
    </font>
    <font>
      <sz val="8"/>
      <color indexed="0"/>
      <name val="Arial"/>
      <family val="2"/>
    </font>
    <font>
      <b/>
      <sz val="9"/>
      <color indexed="8"/>
      <name val="Arial"/>
      <family val="2"/>
    </font>
    <font>
      <b/>
      <i/>
      <sz val="10"/>
      <name val="CG Omega (W1)"/>
    </font>
    <font>
      <b/>
      <sz val="18"/>
      <color indexed="56"/>
      <name val="Cambria"/>
      <family val="2"/>
    </font>
    <font>
      <b/>
      <sz val="12"/>
      <name val="Arial MT"/>
      <family val="2"/>
    </font>
    <font>
      <b/>
      <i/>
      <sz val="10"/>
      <name val="MS Sans Serif"/>
      <family val="2"/>
    </font>
    <font>
      <sz val="14"/>
      <color theme="1" tint="0.34998626667073579"/>
      <name val="BBVA Office Book"/>
      <family val="2"/>
    </font>
    <font>
      <sz val="11"/>
      <color theme="1" tint="0.34998626667073579"/>
      <name val="BBVA Office Book"/>
      <family val="2"/>
    </font>
    <font>
      <sz val="10"/>
      <color theme="4"/>
      <name val="BBVA Office Book"/>
      <family val="2"/>
    </font>
    <font>
      <sz val="11"/>
      <name val="BBVA Office Book"/>
      <family val="2"/>
    </font>
    <font>
      <sz val="10"/>
      <name val="BBVA Office Book"/>
      <family val="2"/>
    </font>
    <font>
      <sz val="11"/>
      <color theme="3"/>
      <name val="BBVA Office Book"/>
      <family val="2"/>
    </font>
    <font>
      <b/>
      <sz val="10"/>
      <name val="BBVA Office Book"/>
      <family val="2"/>
    </font>
    <font>
      <sz val="8"/>
      <name val="BBVA Office Book"/>
      <family val="2"/>
    </font>
    <font>
      <sz val="10"/>
      <color theme="1" tint="0.34998626667073579"/>
      <name val="BBVA Office Book"/>
      <family val="2"/>
    </font>
    <font>
      <sz val="12"/>
      <name val="BBVA Office Book"/>
      <family val="2"/>
    </font>
    <font>
      <sz val="10"/>
      <color rgb="FFFF0000"/>
      <name val="Arial"/>
      <family val="2"/>
    </font>
    <font>
      <sz val="16"/>
      <color theme="1" tint="0.34998626667073579"/>
      <name val="BBVA Office Book"/>
      <family val="2"/>
    </font>
    <font>
      <b/>
      <sz val="16"/>
      <name val="BBVA Office Book"/>
      <family val="2"/>
    </font>
    <font>
      <sz val="9"/>
      <name val="BBVA Office Book"/>
      <family val="2"/>
    </font>
    <font>
      <b/>
      <sz val="9"/>
      <color rgb="FFFF0000"/>
      <name val="BBVA Office Book"/>
      <family val="2"/>
    </font>
    <font>
      <sz val="12"/>
      <color theme="3"/>
      <name val="BBVA Office Book"/>
      <family val="2"/>
    </font>
    <font>
      <sz val="10"/>
      <color theme="3"/>
      <name val="BBVA Office Book"/>
      <family val="2"/>
    </font>
    <font>
      <b/>
      <sz val="12"/>
      <color indexed="18"/>
      <name val="Arial"/>
      <family val="2"/>
    </font>
    <font>
      <b/>
      <sz val="10"/>
      <color indexed="9"/>
      <name val="Tahoma"/>
      <family val="2"/>
    </font>
    <font>
      <sz val="10"/>
      <color indexed="58"/>
      <name val="Stag Sans Book"/>
      <family val="2"/>
    </font>
    <font>
      <sz val="8"/>
      <color indexed="58"/>
      <name val="BBVA Office Book"/>
      <family val="2"/>
    </font>
    <font>
      <sz val="11"/>
      <name val="Lucida Sans Unicode"/>
      <family val="2"/>
    </font>
    <font>
      <b/>
      <sz val="16"/>
      <color theme="1" tint="0.34998626667073579"/>
      <name val="BBVA Office Book"/>
      <family val="2"/>
    </font>
    <font>
      <sz val="10"/>
      <color indexed="18"/>
      <name val="Arial"/>
      <family val="2"/>
    </font>
    <font>
      <sz val="10"/>
      <color theme="5"/>
      <name val="Arial"/>
      <family val="2"/>
    </font>
    <font>
      <sz val="14"/>
      <name val="BBVA Office Book"/>
      <family val="2"/>
    </font>
    <font>
      <b/>
      <sz val="10"/>
      <color theme="0"/>
      <name val="BBVA Office Book"/>
      <family val="2"/>
    </font>
    <font>
      <sz val="10"/>
      <color indexed="18"/>
      <name val="Tahoma"/>
      <family val="2"/>
    </font>
    <font>
      <b/>
      <sz val="12"/>
      <color theme="1" tint="0.34998626667073579"/>
      <name val="BBVA Office Book"/>
      <family val="2"/>
    </font>
    <font>
      <sz val="8"/>
      <color indexed="18"/>
      <name val="Tahoma"/>
      <family val="2"/>
    </font>
    <font>
      <sz val="14"/>
      <color indexed="23"/>
      <name val="BBVA Office Book"/>
      <family val="2"/>
    </font>
    <font>
      <sz val="10"/>
      <color indexed="23"/>
      <name val="BBVA Office Book"/>
      <family val="2"/>
    </font>
    <font>
      <sz val="14"/>
      <color indexed="23" tint="0.34998626667073579"/>
      <name val="BBVA Office Book"/>
      <family val="2"/>
    </font>
    <font>
      <sz val="10"/>
      <color indexed="23" tint="0.34998626667073579"/>
      <name val="BBVA Office Book"/>
      <family val="2"/>
    </font>
    <font>
      <b/>
      <sz val="16"/>
      <color indexed="58"/>
      <name val="BBVA Office Book"/>
      <family val="2"/>
    </font>
    <font>
      <sz val="8"/>
      <color theme="0"/>
      <name val="BBVA Office Book"/>
      <family val="2"/>
    </font>
    <font>
      <sz val="9"/>
      <name val="BBVA Office Light"/>
      <family val="2"/>
    </font>
    <font>
      <sz val="8"/>
      <color indexed="58"/>
      <name val="Stag Sans Book"/>
      <family val="2"/>
    </font>
    <font>
      <vertAlign val="superscript"/>
      <sz val="10"/>
      <color theme="1" tint="0.34998626667073579"/>
      <name val="BBVA Office Book"/>
      <family val="2"/>
    </font>
    <font>
      <sz val="10"/>
      <color indexed="9"/>
      <name val="Tahoma"/>
      <family val="2"/>
    </font>
    <font>
      <b/>
      <sz val="10"/>
      <name val="Tahoma"/>
      <family val="2"/>
    </font>
    <font>
      <sz val="8"/>
      <color theme="1" tint="0.34998626667073579"/>
      <name val="BBVA Office Book"/>
      <family val="2"/>
    </font>
  </fonts>
  <fills count="35">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8" tint="0.39997558519241921"/>
        <bgColor indexed="64"/>
      </patternFill>
    </fill>
    <fill>
      <patternFill patternType="solid">
        <fgColor rgb="FFFFC000"/>
        <bgColor indexed="64"/>
      </patternFill>
    </fill>
    <fill>
      <patternFill patternType="solid">
        <fgColor rgb="FFFFFF00"/>
        <bgColor indexed="64"/>
      </patternFill>
    </fill>
    <fill>
      <patternFill patternType="solid">
        <fgColor indexed="34"/>
        <bgColor indexed="64"/>
      </patternFill>
    </fill>
    <fill>
      <patternFill patternType="solid">
        <fgColor rgb="FFFF0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2"/>
      </patternFill>
    </fill>
    <fill>
      <patternFill patternType="solid">
        <fgColor indexed="9"/>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theme="0" tint="-4.9989318521683403E-2"/>
        <bgColor indexed="64"/>
      </patternFill>
    </fill>
    <fill>
      <patternFill patternType="solid">
        <fgColor indexed="12"/>
        <bgColor indexed="64"/>
      </patternFill>
    </fill>
  </fills>
  <borders count="16">
    <border>
      <left/>
      <right/>
      <top/>
      <bottom/>
      <diagonal/>
    </border>
    <border>
      <left/>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23"/>
      </left>
      <right style="thin">
        <color indexed="23"/>
      </right>
      <top style="thin">
        <color indexed="23"/>
      </top>
      <bottom style="thin">
        <color indexed="23"/>
      </bottom>
      <diagonal/>
    </border>
    <border>
      <left/>
      <right style="thin">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rgb="FF0070C0"/>
      </left>
      <right/>
      <top/>
      <bottom/>
      <diagonal/>
    </border>
    <border>
      <left style="thin">
        <color indexed="64"/>
      </left>
      <right/>
      <top/>
      <bottom/>
      <diagonal/>
    </border>
    <border>
      <left style="thin">
        <color indexed="58"/>
      </left>
      <right/>
      <top/>
      <bottom/>
      <diagonal/>
    </border>
    <border>
      <left/>
      <right style="thin">
        <color indexed="58"/>
      </right>
      <top/>
      <bottom/>
      <diagonal/>
    </border>
  </borders>
  <cellStyleXfs count="188">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0" fontId="17" fillId="0" borderId="0"/>
    <xf numFmtId="0" fontId="22" fillId="0" borderId="0"/>
    <xf numFmtId="0" fontId="5" fillId="0" borderId="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2"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3" fillId="19"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6" borderId="0" applyNumberFormat="0" applyBorder="0" applyAlignment="0" applyProtection="0"/>
    <xf numFmtId="0" fontId="34" fillId="10" borderId="0" applyNumberFormat="0" applyBorder="0" applyAlignment="0" applyProtection="0"/>
    <xf numFmtId="0" fontId="35" fillId="0" borderId="0" applyNumberFormat="0" applyFill="0" applyBorder="0" applyAlignment="0" applyProtection="0"/>
    <xf numFmtId="0" fontId="36" fillId="0" borderId="0">
      <alignment vertical="center"/>
    </xf>
    <xf numFmtId="0" fontId="5" fillId="0" borderId="0">
      <alignment vertical="top"/>
    </xf>
    <xf numFmtId="0" fontId="5" fillId="0" borderId="0">
      <alignment vertical="center"/>
    </xf>
    <xf numFmtId="0" fontId="37" fillId="0" borderId="0"/>
    <xf numFmtId="0" fontId="38" fillId="27" borderId="0"/>
    <xf numFmtId="0" fontId="39" fillId="28" borderId="4" applyNumberFormat="0" applyAlignment="0" applyProtection="0"/>
    <xf numFmtId="0" fontId="40" fillId="0" borderId="0"/>
    <xf numFmtId="3" fontId="5" fillId="0" borderId="0" applyFont="0" applyFill="0" applyBorder="0" applyAlignment="0" applyProtection="0"/>
    <xf numFmtId="0" fontId="37" fillId="0" borderId="5"/>
    <xf numFmtId="3" fontId="41" fillId="0" borderId="0" applyFont="0" applyFill="0" applyBorder="0" applyAlignment="0" applyProtection="0"/>
    <xf numFmtId="0" fontId="37" fillId="0" borderId="5"/>
    <xf numFmtId="164" fontId="41" fillId="0" borderId="0" applyFont="0" applyFill="0" applyBorder="0" applyAlignment="0" applyProtection="0"/>
    <xf numFmtId="0" fontId="41" fillId="0" borderId="0" applyFont="0" applyFill="0" applyBorder="0" applyAlignment="0" applyProtection="0"/>
    <xf numFmtId="3" fontId="5" fillId="0" borderId="0" applyNumberFormat="0" applyFont="0" applyFill="0" applyBorder="0" applyAlignment="0">
      <protection locked="0"/>
    </xf>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22" fillId="0" borderId="0"/>
    <xf numFmtId="0" fontId="5" fillId="0" borderId="0"/>
    <xf numFmtId="0" fontId="5"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xf numFmtId="0" fontId="5" fillId="0" borderId="0"/>
    <xf numFmtId="0" fontId="36" fillId="0" borderId="0">
      <alignment vertical="center"/>
    </xf>
    <xf numFmtId="0" fontId="36" fillId="0" borderId="0">
      <alignment vertical="center"/>
    </xf>
    <xf numFmtId="0" fontId="5" fillId="0" borderId="0">
      <alignment vertical="top"/>
    </xf>
    <xf numFmtId="0" fontId="5" fillId="0" borderId="0">
      <alignment vertical="top"/>
    </xf>
    <xf numFmtId="0" fontId="5" fillId="0" borderId="0">
      <alignment vertical="top"/>
    </xf>
    <xf numFmtId="44" fontId="2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8" fillId="0" borderId="0" applyFont="0" applyFill="0" applyBorder="0" applyAlignment="0" applyProtection="0"/>
    <xf numFmtId="0" fontId="42" fillId="0" borderId="0" applyNumberFormat="0" applyFill="0" applyBorder="0" applyAlignment="0" applyProtection="0"/>
    <xf numFmtId="14" fontId="40" fillId="0" borderId="0" applyFont="0" applyFill="0" applyBorder="0" applyAlignment="0" applyProtection="0"/>
    <xf numFmtId="2" fontId="41" fillId="0" borderId="0" applyFon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167" fontId="44" fillId="0" borderId="0"/>
    <xf numFmtId="168" fontId="44" fillId="0" borderId="0"/>
    <xf numFmtId="168" fontId="44" fillId="0" borderId="0"/>
    <xf numFmtId="169" fontId="44" fillId="0" borderId="0"/>
    <xf numFmtId="170" fontId="44" fillId="0" borderId="0"/>
    <xf numFmtId="170" fontId="44" fillId="0" borderId="0"/>
    <xf numFmtId="171" fontId="44" fillId="0" borderId="0"/>
    <xf numFmtId="171" fontId="44" fillId="0" borderId="0"/>
    <xf numFmtId="0" fontId="45" fillId="29" borderId="0"/>
    <xf numFmtId="0" fontId="46" fillId="0" borderId="0" applyNumberFormat="0" applyFill="0" applyBorder="0" applyAlignment="0" applyProtection="0"/>
    <xf numFmtId="0" fontId="47" fillId="0" borderId="6" applyNumberFormat="0" applyFill="0" applyAlignment="0" applyProtection="0"/>
    <xf numFmtId="0" fontId="48" fillId="0" borderId="0" applyNumberFormat="0" applyFill="0" applyBorder="0" applyAlignment="0" applyProtection="0"/>
    <xf numFmtId="0" fontId="49" fillId="0" borderId="7" applyNumberFormat="0" applyFill="0" applyAlignment="0" applyProtection="0"/>
    <xf numFmtId="0" fontId="50" fillId="0" borderId="8"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172" fontId="53" fillId="0" borderId="0" applyFont="0" applyBorder="0" applyAlignment="0">
      <alignment horizontal="center"/>
    </xf>
    <xf numFmtId="43" fontId="1" fillId="0" borderId="0" applyFont="0" applyFill="0" applyBorder="0" applyAlignment="0" applyProtection="0"/>
    <xf numFmtId="43" fontId="5" fillId="0" borderId="0" applyFont="0" applyFill="0" applyBorder="0" applyAlignment="0" applyProtection="0"/>
    <xf numFmtId="173" fontId="54" fillId="0" borderId="0" applyFont="0" applyFill="0" applyBorder="0" applyAlignment="0" applyProtection="0"/>
    <xf numFmtId="174" fontId="55" fillId="0" borderId="0" applyFont="0" applyFill="0" applyBorder="0" applyAlignment="0" applyProtection="0">
      <alignment horizontal="right"/>
    </xf>
    <xf numFmtId="175" fontId="56" fillId="0" borderId="0" applyFont="0" applyFill="0" applyBorder="0" applyAlignment="0" applyProtection="0"/>
    <xf numFmtId="176" fontId="56" fillId="0" borderId="0" applyFont="0" applyFill="0" applyBorder="0" applyAlignment="0" applyProtection="0"/>
    <xf numFmtId="15" fontId="57" fillId="0" borderId="0" applyNumberFormat="0" applyBorder="0" applyAlignment="0">
      <alignment horizontal="left"/>
    </xf>
    <xf numFmtId="0" fontId="58" fillId="30" borderId="0" applyNumberFormat="0" applyBorder="0" applyAlignment="0" applyProtection="0"/>
    <xf numFmtId="37" fontId="59" fillId="0" borderId="0"/>
    <xf numFmtId="0" fontId="36" fillId="0" borderId="0"/>
    <xf numFmtId="177"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178"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3"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62" fillId="31" borderId="9" applyNumberFormat="0" applyFont="0" applyAlignment="0" applyProtection="0"/>
    <xf numFmtId="0" fontId="63" fillId="28"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38" fontId="40" fillId="0" borderId="0" applyFont="0" applyFill="0" applyBorder="0" applyAlignment="0" applyProtection="0"/>
    <xf numFmtId="40" fontId="40" fillId="0" borderId="0" applyFont="0" applyFill="0" applyBorder="0" applyAlignment="0" applyProtection="0"/>
    <xf numFmtId="1" fontId="40" fillId="0" borderId="0" applyFont="0" applyFill="0" applyBorder="0" applyAlignment="0" applyProtection="0"/>
    <xf numFmtId="0" fontId="5" fillId="0" borderId="0"/>
    <xf numFmtId="0" fontId="5" fillId="0" borderId="0"/>
    <xf numFmtId="0" fontId="62" fillId="0" borderId="0" applyNumberFormat="0" applyBorder="0" applyAlignment="0"/>
    <xf numFmtId="0" fontId="44" fillId="0" borderId="0"/>
    <xf numFmtId="0" fontId="64" fillId="0" borderId="0" applyNumberFormat="0" applyBorder="0" applyAlignment="0"/>
    <xf numFmtId="0" fontId="65" fillId="0" borderId="0" applyNumberFormat="0" applyBorder="0" applyAlignment="0"/>
    <xf numFmtId="0" fontId="66" fillId="0" borderId="0"/>
    <xf numFmtId="0" fontId="64" fillId="0" borderId="0" applyNumberFormat="0" applyBorder="0" applyAlignment="0"/>
    <xf numFmtId="0" fontId="67" fillId="0" borderId="0" applyNumberFormat="0" applyBorder="0" applyAlignment="0"/>
    <xf numFmtId="0" fontId="64" fillId="0" borderId="0" applyNumberFormat="0" applyBorder="0" applyAlignment="0"/>
    <xf numFmtId="179" fontId="68" fillId="0" borderId="0" applyFont="0" applyFill="0" applyBorder="0" applyAlignment="0" applyProtection="0"/>
    <xf numFmtId="0" fontId="69" fillId="0" borderId="0" applyNumberFormat="0" applyFill="0" applyBorder="0" applyAlignment="0" applyProtection="0"/>
    <xf numFmtId="0" fontId="70" fillId="0" borderId="0"/>
    <xf numFmtId="14" fontId="71" fillId="0" borderId="0" applyNumberFormat="0" applyFill="0" applyBorder="0" applyAlignment="0" applyProtection="0"/>
    <xf numFmtId="14" fontId="71" fillId="0" borderId="0" applyNumberFormat="0" applyFill="0" applyBorder="0" applyAlignment="0" applyProtection="0"/>
    <xf numFmtId="0" fontId="41" fillId="0" borderId="11" applyNumberFormat="0" applyFont="0" applyFill="0" applyAlignment="0" applyProtection="0"/>
    <xf numFmtId="180" fontId="68" fillId="0" borderId="0" applyFont="0" applyFill="0" applyBorder="0" applyAlignment="0" applyProtection="0"/>
  </cellStyleXfs>
  <cellXfs count="328">
    <xf numFmtId="0" fontId="0" fillId="0" borderId="0" xfId="0"/>
    <xf numFmtId="0" fontId="4" fillId="0" borderId="0" xfId="3" applyFont="1"/>
    <xf numFmtId="0" fontId="6" fillId="2" borderId="0" xfId="4" applyFont="1" applyFill="1" applyAlignment="1" applyProtection="1">
      <alignment horizontal="center" vertical="top"/>
      <protection hidden="1"/>
    </xf>
    <xf numFmtId="0" fontId="7" fillId="0" borderId="0" xfId="3" applyFont="1" applyProtection="1">
      <protection locked="0"/>
    </xf>
    <xf numFmtId="0" fontId="8" fillId="0" borderId="0" xfId="4" applyFont="1" applyFill="1" applyAlignment="1" applyProtection="1">
      <alignment horizontal="left" indent="4"/>
      <protection hidden="1"/>
    </xf>
    <xf numFmtId="0" fontId="9" fillId="3" borderId="0" xfId="4" applyFont="1" applyFill="1" applyAlignment="1" applyProtection="1">
      <alignment horizontal="left" vertical="top"/>
      <protection hidden="1"/>
    </xf>
    <xf numFmtId="0" fontId="10" fillId="0" borderId="0" xfId="4" applyFont="1"/>
    <xf numFmtId="0" fontId="4" fillId="0" borderId="0" xfId="3" applyFont="1" applyProtection="1">
      <protection hidden="1"/>
    </xf>
    <xf numFmtId="0" fontId="11" fillId="4" borderId="0" xfId="4" applyFont="1" applyFill="1" applyAlignment="1" applyProtection="1">
      <alignment horizontal="left" vertical="top" indent="1"/>
      <protection hidden="1"/>
    </xf>
    <xf numFmtId="0" fontId="11" fillId="4" borderId="0" xfId="4" applyFont="1" applyFill="1" applyAlignment="1" applyProtection="1">
      <alignment horizontal="center" vertical="top" wrapText="1"/>
      <protection hidden="1"/>
    </xf>
    <xf numFmtId="0" fontId="12" fillId="0" borderId="0" xfId="3" applyFont="1" applyAlignment="1">
      <alignment horizontal="left" vertical="top"/>
    </xf>
    <xf numFmtId="0" fontId="13" fillId="2" borderId="0" xfId="4" applyFont="1" applyFill="1" applyAlignment="1" applyProtection="1">
      <alignment horizontal="centerContinuous" vertical="top" wrapText="1"/>
      <protection hidden="1"/>
    </xf>
    <xf numFmtId="0" fontId="4" fillId="0" borderId="0" xfId="3" quotePrefix="1" applyFont="1"/>
    <xf numFmtId="0" fontId="14" fillId="0" borderId="0" xfId="3" quotePrefix="1" applyFont="1"/>
    <xf numFmtId="0" fontId="4" fillId="0" borderId="0" xfId="3" quotePrefix="1" applyFont="1" applyProtection="1">
      <protection hidden="1"/>
    </xf>
    <xf numFmtId="0" fontId="4" fillId="0" borderId="0" xfId="3" applyFont="1" applyFill="1"/>
    <xf numFmtId="0" fontId="4" fillId="0" borderId="0" xfId="3" applyFont="1" applyFill="1" applyProtection="1">
      <protection hidden="1"/>
    </xf>
    <xf numFmtId="0" fontId="11" fillId="4" borderId="0" xfId="4" applyFont="1" applyFill="1" applyAlignment="1" applyProtection="1">
      <alignment horizontal="left" vertical="top" indent="2"/>
      <protection hidden="1"/>
    </xf>
    <xf numFmtId="0" fontId="4" fillId="0" borderId="0" xfId="3" applyFont="1" applyAlignment="1">
      <alignment horizontal="left" indent="5"/>
    </xf>
    <xf numFmtId="0" fontId="4" fillId="0" borderId="0" xfId="3" applyFont="1" applyFill="1" applyAlignment="1">
      <alignment horizontal="left" indent="5"/>
    </xf>
    <xf numFmtId="0" fontId="4" fillId="0" borderId="0" xfId="3" applyFont="1" applyAlignment="1">
      <alignment horizontal="center"/>
    </xf>
    <xf numFmtId="0" fontId="4" fillId="0" borderId="0" xfId="3" applyFont="1" applyAlignment="1" applyProtection="1">
      <alignment horizontal="left" indent="5"/>
      <protection hidden="1"/>
    </xf>
    <xf numFmtId="0" fontId="13" fillId="2" borderId="0" xfId="4" applyFont="1" applyFill="1" applyAlignment="1" applyProtection="1">
      <alignment horizontal="left" vertical="top" indent="1"/>
      <protection hidden="1"/>
    </xf>
    <xf numFmtId="0" fontId="15" fillId="0" borderId="0" xfId="3" applyFont="1"/>
    <xf numFmtId="0" fontId="15" fillId="0" borderId="0" xfId="3" applyFont="1" applyProtection="1">
      <protection hidden="1"/>
    </xf>
    <xf numFmtId="0" fontId="16" fillId="0" borderId="0" xfId="3" applyFont="1"/>
    <xf numFmtId="0" fontId="18" fillId="0" borderId="0" xfId="5" applyFont="1" applyFill="1" applyProtection="1">
      <protection locked="0" hidden="1"/>
    </xf>
    <xf numFmtId="0" fontId="18" fillId="0" borderId="0" xfId="5" applyFont="1" applyFill="1" applyBorder="1" applyAlignment="1" applyProtection="1">
      <alignment horizontal="left"/>
      <protection locked="0" hidden="1"/>
    </xf>
    <xf numFmtId="0" fontId="18" fillId="0" borderId="1" xfId="5" applyFont="1" applyFill="1" applyBorder="1" applyAlignment="1" applyProtection="1">
      <alignment horizontal="left"/>
      <protection locked="0" hidden="1"/>
    </xf>
    <xf numFmtId="0" fontId="18" fillId="0" borderId="0" xfId="4" applyFont="1" applyFill="1" applyAlignment="1"/>
    <xf numFmtId="0" fontId="22" fillId="5" borderId="0" xfId="6" applyFill="1" applyBorder="1" applyAlignment="1">
      <alignment wrapText="1"/>
    </xf>
    <xf numFmtId="0" fontId="22" fillId="5" borderId="0" xfId="6" quotePrefix="1" applyFill="1" applyBorder="1" applyAlignment="1">
      <alignment wrapText="1"/>
    </xf>
    <xf numFmtId="0" fontId="22" fillId="0" borderId="0" xfId="6" applyFill="1" applyAlignment="1">
      <alignment horizontal="left" vertical="top" wrapText="1"/>
    </xf>
    <xf numFmtId="0" fontId="22" fillId="6" borderId="0" xfId="6" applyFill="1" applyAlignment="1">
      <alignment horizontal="left" vertical="top" wrapText="1"/>
    </xf>
    <xf numFmtId="0" fontId="22" fillId="7" borderId="0" xfId="6" applyFill="1" applyBorder="1" applyAlignment="1">
      <alignment horizontal="left" vertical="top" wrapText="1"/>
    </xf>
    <xf numFmtId="0" fontId="22" fillId="8" borderId="0" xfId="6" applyFill="1" applyBorder="1" applyAlignment="1">
      <alignment horizontal="left" vertical="top" wrapText="1"/>
    </xf>
    <xf numFmtId="0" fontId="18" fillId="6" borderId="0" xfId="5" applyFont="1" applyFill="1" applyBorder="1" applyAlignment="1" applyProtection="1">
      <alignment horizontal="left"/>
      <protection locked="0" hidden="1"/>
    </xf>
    <xf numFmtId="0" fontId="21" fillId="0" borderId="0" xfId="4" applyFont="1" applyFill="1" applyBorder="1" applyAlignment="1"/>
    <xf numFmtId="49" fontId="18" fillId="0" borderId="0" xfId="5" applyNumberFormat="1" applyFont="1" applyFill="1" applyBorder="1" applyAlignment="1" applyProtection="1">
      <alignment horizontal="left"/>
      <protection locked="0" hidden="1"/>
    </xf>
    <xf numFmtId="0" fontId="19" fillId="0" borderId="0" xfId="5" applyFont="1" applyFill="1" applyBorder="1" applyAlignment="1" applyProtection="1">
      <alignment horizontal="left"/>
      <protection locked="0" hidden="1"/>
    </xf>
    <xf numFmtId="0" fontId="5" fillId="0" borderId="0" xfId="4" applyFill="1"/>
    <xf numFmtId="0" fontId="18" fillId="0" borderId="2" xfId="4" applyFont="1" applyFill="1" applyBorder="1" applyAlignment="1">
      <alignment vertical="justify"/>
    </xf>
    <xf numFmtId="0" fontId="18" fillId="0" borderId="3" xfId="4" applyFont="1" applyFill="1" applyBorder="1" applyAlignment="1">
      <alignment vertical="justify"/>
    </xf>
    <xf numFmtId="0" fontId="18" fillId="0" borderId="0" xfId="5" quotePrefix="1" applyFont="1" applyFill="1" applyBorder="1" applyAlignment="1" applyProtection="1">
      <alignment horizontal="left"/>
      <protection locked="0" hidden="1"/>
    </xf>
    <xf numFmtId="0" fontId="5" fillId="6" borderId="0" xfId="4" applyFill="1"/>
    <xf numFmtId="0" fontId="18" fillId="0" borderId="0" xfId="5" applyFont="1" applyProtection="1">
      <protection locked="0" hidden="1"/>
    </xf>
    <xf numFmtId="0" fontId="22" fillId="0" borderId="0" xfId="6"/>
    <xf numFmtId="0" fontId="30" fillId="0" borderId="0" xfId="5" applyFont="1" applyFill="1" applyBorder="1" applyAlignment="1" applyProtection="1">
      <alignment horizontal="left"/>
      <protection locked="0" hidden="1"/>
    </xf>
    <xf numFmtId="0" fontId="22" fillId="0" borderId="0" xfId="6" quotePrefix="1"/>
    <xf numFmtId="0" fontId="22" fillId="0" borderId="0" xfId="6" quotePrefix="1" applyFill="1" applyAlignment="1">
      <alignment horizontal="left" vertical="top" wrapText="1"/>
    </xf>
    <xf numFmtId="0" fontId="22" fillId="0" borderId="0" xfId="6" quotePrefix="1" applyAlignment="1">
      <alignment wrapText="1"/>
    </xf>
    <xf numFmtId="0" fontId="31" fillId="0" borderId="0" xfId="5" applyFont="1" applyFill="1" applyBorder="1" applyAlignment="1" applyProtection="1">
      <alignment horizontal="left"/>
      <protection locked="0" hidden="1"/>
    </xf>
    <xf numFmtId="0" fontId="72" fillId="2" borderId="0" xfId="128" applyFont="1" applyFill="1" applyAlignment="1">
      <alignment horizontal="left" vertical="center"/>
    </xf>
    <xf numFmtId="0" fontId="73" fillId="2" borderId="0" xfId="128" applyFont="1" applyFill="1"/>
    <xf numFmtId="0" fontId="1" fillId="0" borderId="0" xfId="128"/>
    <xf numFmtId="0" fontId="74" fillId="0" borderId="0" xfId="128" applyFont="1" applyFill="1" applyAlignment="1">
      <alignment horizontal="left" vertical="center"/>
    </xf>
    <xf numFmtId="0" fontId="75" fillId="0" borderId="0" xfId="128" applyFont="1" applyFill="1"/>
    <xf numFmtId="0" fontId="76" fillId="0" borderId="0" xfId="128" applyFont="1" applyFill="1" applyAlignment="1">
      <alignment vertical="center"/>
    </xf>
    <xf numFmtId="181" fontId="76" fillId="0" borderId="0" xfId="128" applyNumberFormat="1" applyFont="1" applyFill="1" applyBorder="1" applyAlignment="1">
      <alignment horizontal="right" vertical="center"/>
    </xf>
    <xf numFmtId="181" fontId="77" fillId="0" borderId="1" xfId="0" applyNumberFormat="1" applyFont="1" applyFill="1" applyBorder="1" applyAlignment="1">
      <alignment horizontal="right" vertical="center"/>
    </xf>
    <xf numFmtId="3" fontId="76" fillId="0" borderId="0" xfId="128" applyNumberFormat="1" applyFont="1" applyFill="1" applyAlignment="1">
      <alignment vertical="center"/>
    </xf>
    <xf numFmtId="3" fontId="76" fillId="0" borderId="0" xfId="128" applyNumberFormat="1" applyFont="1" applyFill="1" applyBorder="1" applyAlignment="1">
      <alignment horizontal="right"/>
    </xf>
    <xf numFmtId="3" fontId="78" fillId="0" borderId="0" xfId="128" applyNumberFormat="1" applyFont="1" applyFill="1" applyAlignment="1">
      <alignment vertical="center"/>
    </xf>
    <xf numFmtId="3" fontId="75" fillId="0" borderId="0" xfId="128" applyNumberFormat="1" applyFont="1" applyFill="1"/>
    <xf numFmtId="0" fontId="79" fillId="0" borderId="0" xfId="128" applyFont="1" applyFill="1" applyAlignment="1">
      <alignment horizontal="left"/>
    </xf>
    <xf numFmtId="0" fontId="72" fillId="2" borderId="0" xfId="0" applyFont="1" applyFill="1" applyAlignment="1">
      <alignment horizontal="left" vertical="center"/>
    </xf>
    <xf numFmtId="3" fontId="80" fillId="2" borderId="0" xfId="0" applyNumberFormat="1" applyFont="1" applyFill="1" applyBorder="1"/>
    <xf numFmtId="0" fontId="80" fillId="2" borderId="0" xfId="0" applyFont="1" applyFill="1"/>
    <xf numFmtId="0" fontId="74" fillId="0" borderId="0" xfId="0" applyFont="1" applyFill="1" applyAlignment="1">
      <alignment horizontal="left" vertical="center"/>
    </xf>
    <xf numFmtId="3" fontId="76" fillId="0" borderId="0" xfId="0" applyNumberFormat="1" applyFont="1" applyFill="1" applyBorder="1"/>
    <xf numFmtId="0" fontId="76" fillId="0" borderId="0" xfId="0" applyFont="1"/>
    <xf numFmtId="0" fontId="81" fillId="0" borderId="0" xfId="0" applyNumberFormat="1" applyFont="1" applyFill="1" applyBorder="1" applyAlignment="1">
      <alignment horizontal="left" vertical="center"/>
    </xf>
    <xf numFmtId="0" fontId="76" fillId="0" borderId="0" xfId="0" applyFont="1" applyFill="1"/>
    <xf numFmtId="0" fontId="76" fillId="0" borderId="0" xfId="0" applyFont="1" applyFill="1" applyAlignment="1">
      <alignment horizontal="right" vertical="center"/>
    </xf>
    <xf numFmtId="182" fontId="77" fillId="0" borderId="1" xfId="0" applyNumberFormat="1" applyFont="1" applyFill="1" applyBorder="1" applyAlignment="1">
      <alignment horizontal="right" vertical="center"/>
    </xf>
    <xf numFmtId="182" fontId="77" fillId="0" borderId="0" xfId="0" applyNumberFormat="1" applyFont="1" applyFill="1" applyBorder="1" applyAlignment="1">
      <alignment horizontal="right" vertical="center"/>
    </xf>
    <xf numFmtId="0" fontId="82" fillId="0" borderId="0" xfId="0" applyFont="1" applyAlignment="1">
      <alignment horizontal="center"/>
    </xf>
    <xf numFmtId="3" fontId="78" fillId="0" borderId="0" xfId="0" applyNumberFormat="1" applyFont="1" applyFill="1" applyBorder="1" applyAlignment="1">
      <alignment vertical="center"/>
    </xf>
    <xf numFmtId="3" fontId="78" fillId="0" borderId="0" xfId="0" applyNumberFormat="1" applyFont="1" applyFill="1" applyBorder="1" applyAlignment="1">
      <alignment horizontal="right"/>
    </xf>
    <xf numFmtId="183" fontId="82" fillId="0" borderId="0" xfId="1" applyNumberFormat="1" applyFont="1"/>
    <xf numFmtId="43" fontId="0" fillId="0" borderId="0" xfId="1" applyFont="1"/>
    <xf numFmtId="3" fontId="76" fillId="0" borderId="0" xfId="0" applyNumberFormat="1" applyFont="1" applyFill="1" applyBorder="1" applyAlignment="1">
      <alignment horizontal="left" vertical="center" indent="1"/>
    </xf>
    <xf numFmtId="3" fontId="76" fillId="0" borderId="0" xfId="0" applyNumberFormat="1" applyFont="1" applyFill="1" applyBorder="1" applyAlignment="1">
      <alignment horizontal="right"/>
    </xf>
    <xf numFmtId="3" fontId="76" fillId="0" borderId="0" xfId="0" applyNumberFormat="1" applyFont="1" applyFill="1" applyBorder="1" applyAlignment="1">
      <alignment horizontal="left" vertical="center" indent="2"/>
    </xf>
    <xf numFmtId="0" fontId="76" fillId="0" borderId="0" xfId="0" applyFont="1" applyFill="1" applyBorder="1"/>
    <xf numFmtId="0" fontId="5" fillId="0" borderId="0" xfId="0" applyFont="1" applyFill="1"/>
    <xf numFmtId="0" fontId="0" fillId="0" borderId="0" xfId="0" applyFill="1"/>
    <xf numFmtId="0" fontId="72" fillId="2" borderId="0" xfId="0" applyFont="1" applyFill="1" applyBorder="1" applyAlignment="1">
      <alignment horizontal="left" vertical="center"/>
    </xf>
    <xf numFmtId="0" fontId="83" fillId="2" borderId="0" xfId="150" applyFont="1" applyFill="1" applyBorder="1" applyAlignment="1">
      <alignment horizontal="left" vertical="center"/>
    </xf>
    <xf numFmtId="0" fontId="80" fillId="2" borderId="0" xfId="0" applyFont="1" applyFill="1" applyBorder="1"/>
    <xf numFmtId="0" fontId="74" fillId="0" borderId="0" xfId="0" applyFont="1" applyFill="1" applyBorder="1" applyAlignment="1">
      <alignment horizontal="left" vertical="center"/>
    </xf>
    <xf numFmtId="0" fontId="84" fillId="0" borderId="0" xfId="150" applyFont="1" applyFill="1" applyBorder="1" applyAlignment="1">
      <alignment horizontal="left" vertical="center"/>
    </xf>
    <xf numFmtId="0" fontId="76" fillId="0" borderId="0" xfId="149" applyFont="1" applyFill="1" applyBorder="1"/>
    <xf numFmtId="0" fontId="77" fillId="0" borderId="1" xfId="0" applyFont="1" applyFill="1" applyBorder="1" applyAlignment="1">
      <alignment horizontal="right" vertical="center"/>
    </xf>
    <xf numFmtId="49" fontId="76" fillId="0" borderId="0" xfId="149" applyNumberFormat="1" applyFont="1" applyFill="1" applyBorder="1" applyAlignment="1">
      <alignment horizontal="right"/>
    </xf>
    <xf numFmtId="0" fontId="76" fillId="0" borderId="0" xfId="128" applyFont="1" applyFill="1" applyBorder="1" applyAlignment="1">
      <alignment vertical="center"/>
    </xf>
    <xf numFmtId="10" fontId="76" fillId="0" borderId="0" xfId="163" applyNumberFormat="1" applyFont="1" applyFill="1" applyBorder="1" applyAlignment="1">
      <alignment vertical="center"/>
    </xf>
    <xf numFmtId="10" fontId="76" fillId="0" borderId="0" xfId="156" applyNumberFormat="1" applyFont="1" applyFill="1" applyBorder="1" applyAlignment="1">
      <alignment vertical="center"/>
    </xf>
    <xf numFmtId="10" fontId="0" fillId="0" borderId="0" xfId="2" applyNumberFormat="1" applyFont="1"/>
    <xf numFmtId="10" fontId="0" fillId="0" borderId="0" xfId="0" applyNumberFormat="1"/>
    <xf numFmtId="10" fontId="78" fillId="0" borderId="0" xfId="0" applyNumberFormat="1" applyFont="1" applyFill="1" applyBorder="1" applyAlignment="1">
      <alignment vertical="center"/>
    </xf>
    <xf numFmtId="10" fontId="78" fillId="0" borderId="0" xfId="156" applyNumberFormat="1" applyFont="1" applyFill="1" applyBorder="1" applyAlignment="1">
      <alignment vertical="center"/>
    </xf>
    <xf numFmtId="10" fontId="76" fillId="0" borderId="0" xfId="149" applyNumberFormat="1" applyFont="1" applyFill="1" applyBorder="1" applyAlignment="1">
      <alignment horizontal="right"/>
    </xf>
    <xf numFmtId="10" fontId="78" fillId="0" borderId="0" xfId="149" applyNumberFormat="1" applyFont="1" applyFill="1" applyBorder="1" applyAlignment="1">
      <alignment horizontal="right"/>
    </xf>
    <xf numFmtId="10" fontId="76" fillId="0" borderId="0" xfId="0" applyNumberFormat="1" applyFont="1" applyFill="1" applyBorder="1" applyAlignment="1">
      <alignment vertical="center"/>
    </xf>
    <xf numFmtId="10" fontId="76" fillId="2" borderId="0" xfId="163" applyNumberFormat="1" applyFont="1" applyFill="1" applyBorder="1" applyAlignment="1">
      <alignment vertical="center"/>
    </xf>
    <xf numFmtId="10" fontId="78" fillId="2" borderId="0" xfId="0" applyNumberFormat="1" applyFont="1" applyFill="1" applyBorder="1" applyAlignment="1">
      <alignment vertical="center"/>
    </xf>
    <xf numFmtId="3" fontId="85" fillId="0" borderId="0" xfId="0" applyNumberFormat="1" applyFont="1" applyFill="1" applyBorder="1" applyAlignment="1">
      <alignment vertical="center"/>
    </xf>
    <xf numFmtId="0" fontId="80" fillId="2" borderId="0" xfId="149" applyFont="1" applyFill="1"/>
    <xf numFmtId="0" fontId="21" fillId="0" borderId="0" xfId="149" applyFont="1" applyFill="1"/>
    <xf numFmtId="0" fontId="21" fillId="0" borderId="0" xfId="149" applyFont="1"/>
    <xf numFmtId="0" fontId="76" fillId="0" borderId="0" xfId="149" applyFont="1"/>
    <xf numFmtId="0" fontId="84" fillId="0" borderId="0" xfId="150" applyFont="1" applyFill="1" applyAlignment="1">
      <alignment horizontal="left" vertical="center"/>
    </xf>
    <xf numFmtId="0" fontId="88" fillId="0" borderId="0" xfId="149" applyFont="1" applyFill="1"/>
    <xf numFmtId="3" fontId="88" fillId="0" borderId="0" xfId="0" applyNumberFormat="1" applyFont="1" applyFill="1"/>
    <xf numFmtId="0" fontId="89" fillId="0" borderId="0" xfId="149" applyFont="1" applyAlignment="1">
      <alignment horizontal="left" vertical="center"/>
    </xf>
    <xf numFmtId="181" fontId="78" fillId="0" borderId="0" xfId="150" applyNumberFormat="1" applyFont="1" applyFill="1" applyAlignment="1">
      <alignment horizontal="right" vertical="center"/>
    </xf>
    <xf numFmtId="181" fontId="77" fillId="0" borderId="0" xfId="0" applyNumberFormat="1" applyFont="1" applyFill="1" applyBorder="1" applyAlignment="1">
      <alignment vertical="center"/>
    </xf>
    <xf numFmtId="181" fontId="77" fillId="0" borderId="0" xfId="0" applyNumberFormat="1" applyFont="1" applyFill="1" applyBorder="1" applyAlignment="1">
      <alignment horizontal="center" vertical="center"/>
    </xf>
    <xf numFmtId="1" fontId="77" fillId="0" borderId="0" xfId="0" applyNumberFormat="1" applyFont="1" applyFill="1" applyBorder="1" applyAlignment="1">
      <alignment vertical="center"/>
    </xf>
    <xf numFmtId="181" fontId="90" fillId="0" borderId="0" xfId="150" applyNumberFormat="1" applyFont="1" applyFill="1" applyAlignment="1">
      <alignment horizontal="right" vertical="center"/>
    </xf>
    <xf numFmtId="181" fontId="77" fillId="0" borderId="1" xfId="0" applyNumberFormat="1" applyFont="1" applyFill="1" applyBorder="1" applyAlignment="1">
      <alignment horizontal="center" vertical="center"/>
    </xf>
    <xf numFmtId="0" fontId="88" fillId="0" borderId="1" xfId="149" applyFont="1" applyFill="1" applyBorder="1"/>
    <xf numFmtId="3" fontId="88" fillId="0" borderId="1" xfId="0" applyNumberFormat="1" applyFont="1" applyFill="1" applyBorder="1"/>
    <xf numFmtId="181" fontId="77" fillId="0" borderId="1" xfId="0" quotePrefix="1" applyNumberFormat="1" applyFont="1" applyFill="1" applyBorder="1" applyAlignment="1">
      <alignment horizontal="center" vertical="center"/>
    </xf>
    <xf numFmtId="3" fontId="76" fillId="0" borderId="0" xfId="0" applyNumberFormat="1" applyFont="1" applyFill="1" applyAlignment="1">
      <alignment vertical="center"/>
    </xf>
    <xf numFmtId="184" fontId="76" fillId="0" borderId="0" xfId="0" applyNumberFormat="1" applyFont="1" applyFill="1" applyBorder="1"/>
    <xf numFmtId="185" fontId="76" fillId="0" borderId="0" xfId="0" applyNumberFormat="1" applyFont="1" applyFill="1" applyBorder="1"/>
    <xf numFmtId="3" fontId="91" fillId="0" borderId="0" xfId="0" applyNumberFormat="1" applyFont="1" applyAlignment="1">
      <alignment horizontal="right"/>
    </xf>
    <xf numFmtId="3" fontId="0" fillId="0" borderId="0" xfId="0" applyNumberFormat="1"/>
    <xf numFmtId="4" fontId="76" fillId="0" borderId="0" xfId="0" applyNumberFormat="1" applyFont="1" applyFill="1" applyBorder="1"/>
    <xf numFmtId="0" fontId="76" fillId="0" borderId="0" xfId="149" applyFont="1" applyFill="1"/>
    <xf numFmtId="186" fontId="76" fillId="0" borderId="0" xfId="158" applyNumberFormat="1" applyFont="1" applyFill="1" applyAlignment="1">
      <alignment horizontal="right"/>
    </xf>
    <xf numFmtId="186" fontId="21" fillId="0" borderId="0" xfId="149" applyNumberFormat="1" applyFont="1"/>
    <xf numFmtId="0" fontId="85" fillId="0" borderId="0" xfId="0" applyFont="1" applyFill="1" applyAlignment="1">
      <alignment horizontal="left"/>
    </xf>
    <xf numFmtId="0" fontId="79" fillId="0" borderId="0" xfId="0" applyFont="1" applyFill="1" applyAlignment="1">
      <alignment horizontal="left"/>
    </xf>
    <xf numFmtId="0" fontId="92" fillId="0" borderId="0" xfId="0" applyFont="1" applyFill="1" applyAlignment="1">
      <alignment horizontal="left"/>
    </xf>
    <xf numFmtId="0" fontId="78" fillId="0" borderId="0" xfId="149" applyFont="1" applyFill="1" applyBorder="1" applyAlignment="1">
      <alignment horizontal="center" vertical="center"/>
    </xf>
    <xf numFmtId="181" fontId="77" fillId="0" borderId="1" xfId="0" applyNumberFormat="1" applyFont="1" applyFill="1" applyBorder="1" applyAlignment="1">
      <alignment horizontal="right"/>
    </xf>
    <xf numFmtId="3" fontId="78" fillId="0" borderId="0" xfId="0" applyNumberFormat="1" applyFont="1" applyFill="1" applyAlignment="1">
      <alignment vertical="center"/>
    </xf>
    <xf numFmtId="0" fontId="93" fillId="0" borderId="0" xfId="0" applyFont="1"/>
    <xf numFmtId="3" fontId="76" fillId="0" borderId="0" xfId="0" applyNumberFormat="1" applyFont="1" applyFill="1" applyAlignment="1">
      <alignment horizontal="left" vertical="center" indent="1"/>
    </xf>
    <xf numFmtId="3" fontId="76" fillId="0" borderId="0" xfId="0" applyNumberFormat="1" applyFont="1" applyFill="1" applyAlignment="1">
      <alignment horizontal="left" vertical="center"/>
    </xf>
    <xf numFmtId="3" fontId="80" fillId="2" borderId="0" xfId="149" applyNumberFormat="1" applyFont="1" applyFill="1"/>
    <xf numFmtId="3" fontId="21" fillId="0" borderId="0" xfId="149" applyNumberFormat="1" applyFont="1" applyFill="1"/>
    <xf numFmtId="3" fontId="76" fillId="0" borderId="0" xfId="0" applyNumberFormat="1" applyFont="1" applyFill="1" applyBorder="1" applyAlignment="1">
      <alignment vertical="center"/>
    </xf>
    <xf numFmtId="2" fontId="0" fillId="0" borderId="0" xfId="0" applyNumberFormat="1"/>
    <xf numFmtId="3" fontId="76" fillId="0" borderId="0" xfId="149" applyNumberFormat="1" applyFont="1" applyFill="1"/>
    <xf numFmtId="0" fontId="94" fillId="2" borderId="0" xfId="150" applyFont="1" applyFill="1" applyAlignment="1">
      <alignment horizontal="left" vertical="center"/>
    </xf>
    <xf numFmtId="0" fontId="5" fillId="0" borderId="0" xfId="149" applyFont="1"/>
    <xf numFmtId="0" fontId="74" fillId="0" borderId="0" xfId="0" applyFont="1" applyFill="1" applyAlignment="1">
      <alignment horizontal="left"/>
    </xf>
    <xf numFmtId="186" fontId="78" fillId="0" borderId="12" xfId="0" applyNumberFormat="1" applyFont="1" applyFill="1" applyBorder="1" applyAlignment="1">
      <alignment vertical="center"/>
    </xf>
    <xf numFmtId="186" fontId="78" fillId="0" borderId="0" xfId="0" applyNumberFormat="1" applyFont="1" applyFill="1" applyBorder="1" applyAlignment="1">
      <alignment vertical="center"/>
    </xf>
    <xf numFmtId="187" fontId="0" fillId="0" borderId="0" xfId="0" applyNumberFormat="1"/>
    <xf numFmtId="188" fontId="0" fillId="0" borderId="0" xfId="0" applyNumberFormat="1"/>
    <xf numFmtId="186" fontId="76" fillId="0" borderId="13" xfId="149" applyNumberFormat="1" applyFont="1" applyFill="1" applyBorder="1" applyAlignment="1">
      <alignment horizontal="right"/>
    </xf>
    <xf numFmtId="186" fontId="76" fillId="0" borderId="0" xfId="149" applyNumberFormat="1" applyFont="1" applyFill="1" applyBorder="1" applyAlignment="1">
      <alignment horizontal="right"/>
    </xf>
    <xf numFmtId="0" fontId="55" fillId="0" borderId="0" xfId="149" applyFont="1"/>
    <xf numFmtId="186" fontId="76" fillId="0" borderId="12" xfId="0" applyNumberFormat="1" applyFont="1" applyFill="1" applyBorder="1" applyAlignment="1">
      <alignment vertical="center"/>
    </xf>
    <xf numFmtId="186" fontId="76" fillId="0" borderId="0" xfId="0" applyNumberFormat="1" applyFont="1" applyFill="1" applyBorder="1" applyAlignment="1">
      <alignment vertical="center"/>
    </xf>
    <xf numFmtId="186" fontId="76" fillId="0" borderId="12" xfId="149" applyNumberFormat="1" applyFont="1" applyFill="1" applyBorder="1" applyAlignment="1">
      <alignment horizontal="right"/>
    </xf>
    <xf numFmtId="188" fontId="5" fillId="0" borderId="0" xfId="149" applyNumberFormat="1" applyFont="1"/>
    <xf numFmtId="0" fontId="76" fillId="0" borderId="0" xfId="149" applyFont="1" applyFill="1" applyAlignment="1">
      <alignment horizontal="left"/>
    </xf>
    <xf numFmtId="186" fontId="76" fillId="0" borderId="12" xfId="0" applyNumberFormat="1" applyFont="1" applyFill="1" applyBorder="1"/>
    <xf numFmtId="186" fontId="76" fillId="0" borderId="0" xfId="0" applyNumberFormat="1" applyFont="1" applyFill="1" applyBorder="1"/>
    <xf numFmtId="188" fontId="76" fillId="0" borderId="0" xfId="149" applyNumberFormat="1" applyFont="1" applyFill="1" applyBorder="1"/>
    <xf numFmtId="0" fontId="80" fillId="2" borderId="0" xfId="149" applyFont="1" applyFill="1" applyBorder="1"/>
    <xf numFmtId="188" fontId="80" fillId="2" borderId="0" xfId="149" applyNumberFormat="1" applyFont="1" applyFill="1" applyBorder="1"/>
    <xf numFmtId="0" fontId="55" fillId="0" borderId="0" xfId="149" applyFont="1" applyFill="1"/>
    <xf numFmtId="186" fontId="76" fillId="0" borderId="0" xfId="158" applyNumberFormat="1" applyFont="1" applyFill="1" applyBorder="1" applyAlignment="1">
      <alignment horizontal="right"/>
    </xf>
    <xf numFmtId="2" fontId="76" fillId="0" borderId="0" xfId="149" applyNumberFormat="1" applyFont="1" applyFill="1" applyBorder="1"/>
    <xf numFmtId="1" fontId="78" fillId="0" borderId="12" xfId="0" applyNumberFormat="1" applyFont="1" applyFill="1" applyBorder="1" applyAlignment="1">
      <alignment vertical="center"/>
    </xf>
    <xf numFmtId="1" fontId="78" fillId="0" borderId="0" xfId="0" applyNumberFormat="1" applyFont="1" applyFill="1" applyBorder="1" applyAlignment="1">
      <alignment vertical="center"/>
    </xf>
    <xf numFmtId="184" fontId="0" fillId="0" borderId="0" xfId="0" applyNumberFormat="1"/>
    <xf numFmtId="1" fontId="76" fillId="0" borderId="13" xfId="149" applyNumberFormat="1" applyFont="1" applyFill="1" applyBorder="1" applyAlignment="1">
      <alignment horizontal="right"/>
    </xf>
    <xf numFmtId="1" fontId="76" fillId="0" borderId="0" xfId="149" applyNumberFormat="1" applyFont="1" applyFill="1" applyBorder="1" applyAlignment="1">
      <alignment horizontal="right"/>
    </xf>
    <xf numFmtId="1" fontId="76" fillId="0" borderId="12" xfId="0" applyNumberFormat="1" applyFont="1" applyFill="1" applyBorder="1" applyAlignment="1">
      <alignment vertical="center"/>
    </xf>
    <xf numFmtId="1" fontId="76" fillId="0" borderId="0" xfId="0" applyNumberFormat="1" applyFont="1" applyFill="1" applyBorder="1" applyAlignment="1">
      <alignment vertical="center"/>
    </xf>
    <xf numFmtId="9" fontId="0" fillId="0" borderId="0" xfId="0" applyNumberFormat="1"/>
    <xf numFmtId="1" fontId="76" fillId="0" borderId="12" xfId="149" applyNumberFormat="1" applyFont="1" applyFill="1" applyBorder="1" applyAlignment="1">
      <alignment horizontal="right"/>
    </xf>
    <xf numFmtId="1" fontId="76" fillId="0" borderId="12" xfId="0" applyNumberFormat="1" applyFont="1" applyFill="1" applyBorder="1"/>
    <xf numFmtId="1" fontId="76" fillId="0" borderId="0" xfId="0" applyNumberFormat="1" applyFont="1" applyFill="1" applyBorder="1"/>
    <xf numFmtId="2" fontId="78" fillId="0" borderId="12" xfId="0" applyNumberFormat="1" applyFont="1" applyFill="1" applyBorder="1" applyAlignment="1">
      <alignment vertical="center"/>
    </xf>
    <xf numFmtId="2" fontId="78" fillId="0" borderId="0" xfId="0" applyNumberFormat="1" applyFont="1" applyFill="1" applyBorder="1" applyAlignment="1">
      <alignment vertical="center"/>
    </xf>
    <xf numFmtId="2" fontId="76" fillId="0" borderId="13" xfId="149" applyNumberFormat="1" applyFont="1" applyFill="1" applyBorder="1" applyAlignment="1">
      <alignment horizontal="right"/>
    </xf>
    <xf numFmtId="2" fontId="76" fillId="0" borderId="0" xfId="149" applyNumberFormat="1" applyFont="1" applyFill="1" applyBorder="1" applyAlignment="1">
      <alignment horizontal="right"/>
    </xf>
    <xf numFmtId="2" fontId="76" fillId="0" borderId="12" xfId="0" applyNumberFormat="1" applyFont="1" applyFill="1" applyBorder="1" applyAlignment="1">
      <alignment vertical="center"/>
    </xf>
    <xf numFmtId="2" fontId="76" fillId="0" borderId="0" xfId="0" applyNumberFormat="1" applyFont="1" applyFill="1" applyBorder="1" applyAlignment="1">
      <alignment vertical="center"/>
    </xf>
    <xf numFmtId="2" fontId="76" fillId="0" borderId="12" xfId="149" applyNumberFormat="1" applyFont="1" applyFill="1" applyBorder="1" applyAlignment="1">
      <alignment horizontal="right"/>
    </xf>
    <xf numFmtId="2" fontId="76" fillId="0" borderId="12" xfId="0" applyNumberFormat="1" applyFont="1" applyFill="1" applyBorder="1"/>
    <xf numFmtId="2" fontId="76" fillId="0" borderId="0" xfId="0" applyNumberFormat="1" applyFont="1" applyFill="1" applyBorder="1"/>
    <xf numFmtId="0" fontId="5" fillId="0" borderId="0" xfId="149" applyFont="1" applyFill="1"/>
    <xf numFmtId="0" fontId="95" fillId="0" borderId="0" xfId="149" applyFont="1"/>
    <xf numFmtId="186" fontId="78" fillId="0" borderId="14" xfId="0" applyNumberFormat="1" applyFont="1" applyFill="1" applyBorder="1" applyAlignment="1">
      <alignment vertical="center"/>
    </xf>
    <xf numFmtId="186" fontId="76" fillId="0" borderId="14" xfId="149" applyNumberFormat="1" applyFont="1" applyFill="1" applyBorder="1" applyAlignment="1">
      <alignment horizontal="right"/>
    </xf>
    <xf numFmtId="186" fontId="76" fillId="0" borderId="14" xfId="0" applyNumberFormat="1" applyFont="1" applyFill="1" applyBorder="1" applyAlignment="1">
      <alignment vertical="center"/>
    </xf>
    <xf numFmtId="3" fontId="96" fillId="0" borderId="0" xfId="0" applyNumberFormat="1" applyFont="1"/>
    <xf numFmtId="0" fontId="97" fillId="0" borderId="0" xfId="0" applyFont="1" applyFill="1" applyAlignment="1">
      <alignment horizontal="left" vertical="center"/>
    </xf>
    <xf numFmtId="0" fontId="84" fillId="0" borderId="0" xfId="0" applyFont="1" applyFill="1" applyAlignment="1">
      <alignment horizontal="left" vertical="center"/>
    </xf>
    <xf numFmtId="0" fontId="80" fillId="2" borderId="0" xfId="0" applyFont="1" applyFill="1" applyAlignment="1">
      <alignment vertical="center"/>
    </xf>
    <xf numFmtId="0" fontId="76" fillId="0" borderId="0" xfId="0" applyFont="1" applyFill="1" applyAlignment="1">
      <alignment vertical="center"/>
    </xf>
    <xf numFmtId="0" fontId="76" fillId="0" borderId="0" xfId="0" applyFont="1" applyFill="1" applyAlignment="1">
      <alignment horizontal="left" vertical="center"/>
    </xf>
    <xf numFmtId="3" fontId="78" fillId="0" borderId="14" xfId="0" applyNumberFormat="1" applyFont="1" applyFill="1" applyBorder="1" applyAlignment="1">
      <alignment vertical="center"/>
    </xf>
    <xf numFmtId="3" fontId="78" fillId="0" borderId="15" xfId="0" applyNumberFormat="1" applyFont="1" applyFill="1" applyBorder="1" applyAlignment="1">
      <alignment vertical="center"/>
    </xf>
    <xf numFmtId="3" fontId="76" fillId="0" borderId="14" xfId="0" applyNumberFormat="1" applyFont="1" applyFill="1" applyBorder="1"/>
    <xf numFmtId="3" fontId="76" fillId="0" borderId="15" xfId="0" applyNumberFormat="1" applyFont="1" applyFill="1" applyBorder="1" applyAlignment="1">
      <alignment horizontal="right"/>
    </xf>
    <xf numFmtId="3" fontId="98" fillId="3" borderId="0" xfId="0" applyNumberFormat="1" applyFont="1" applyFill="1" applyAlignment="1">
      <alignment vertical="center"/>
    </xf>
    <xf numFmtId="3" fontId="98" fillId="3" borderId="14" xfId="0" applyNumberFormat="1" applyFont="1" applyFill="1" applyBorder="1" applyAlignment="1">
      <alignment vertical="center"/>
    </xf>
    <xf numFmtId="3" fontId="98" fillId="3" borderId="0" xfId="0" applyNumberFormat="1" applyFont="1" applyFill="1" applyBorder="1" applyAlignment="1">
      <alignment vertical="center"/>
    </xf>
    <xf numFmtId="3" fontId="98" fillId="3" borderId="15" xfId="0" applyNumberFormat="1" applyFont="1" applyFill="1" applyBorder="1" applyAlignment="1">
      <alignment vertical="center"/>
    </xf>
    <xf numFmtId="3" fontId="80" fillId="2" borderId="0" xfId="0" applyNumberFormat="1" applyFont="1" applyFill="1"/>
    <xf numFmtId="0" fontId="78" fillId="0" borderId="0" xfId="0" applyFont="1" applyFill="1"/>
    <xf numFmtId="3" fontId="76" fillId="0" borderId="0" xfId="0" applyNumberFormat="1" applyFont="1" applyFill="1"/>
    <xf numFmtId="3" fontId="76" fillId="0" borderId="13" xfId="0" applyNumberFormat="1" applyFont="1" applyFill="1" applyBorder="1" applyAlignment="1">
      <alignment horizontal="right"/>
    </xf>
    <xf numFmtId="3" fontId="76" fillId="0" borderId="13" xfId="0" applyNumberFormat="1" applyFont="1" applyFill="1" applyBorder="1"/>
    <xf numFmtId="3" fontId="79" fillId="0" borderId="0" xfId="0" applyNumberFormat="1" applyFont="1" applyFill="1" applyAlignment="1">
      <alignment vertical="center"/>
    </xf>
    <xf numFmtId="3" fontId="76" fillId="0" borderId="0" xfId="0" applyNumberFormat="1" applyFont="1" applyFill="1" applyAlignment="1">
      <alignment horizontal="right"/>
    </xf>
    <xf numFmtId="0" fontId="99" fillId="0" borderId="0" xfId="0" applyFont="1"/>
    <xf numFmtId="0" fontId="21" fillId="0" borderId="0" xfId="0" applyFont="1"/>
    <xf numFmtId="0" fontId="76" fillId="0" borderId="0" xfId="0" quotePrefix="1" applyFont="1" applyFill="1" applyAlignment="1">
      <alignment horizontal="left" vertical="center"/>
    </xf>
    <xf numFmtId="3" fontId="0" fillId="0" borderId="0" xfId="0" applyNumberFormat="1" applyFill="1"/>
    <xf numFmtId="0" fontId="100" fillId="2" borderId="0" xfId="0" quotePrefix="1" applyFont="1" applyFill="1" applyAlignment="1">
      <alignment horizontal="left" vertical="center"/>
    </xf>
    <xf numFmtId="4" fontId="0" fillId="0" borderId="0" xfId="0" applyNumberFormat="1"/>
    <xf numFmtId="184" fontId="0" fillId="0" borderId="0" xfId="0" applyNumberFormat="1" applyFill="1"/>
    <xf numFmtId="4" fontId="76" fillId="0" borderId="0" xfId="0" applyNumberFormat="1" applyFont="1" applyFill="1"/>
    <xf numFmtId="0" fontId="101" fillId="0" borderId="0" xfId="0" applyFont="1" applyFill="1" applyBorder="1"/>
    <xf numFmtId="0" fontId="101" fillId="0" borderId="0" xfId="0" applyFont="1"/>
    <xf numFmtId="3" fontId="76" fillId="0" borderId="0" xfId="0" applyNumberFormat="1" applyFont="1" applyFill="1" applyAlignment="1">
      <alignment horizontal="left" vertical="center" indent="2"/>
    </xf>
    <xf numFmtId="3" fontId="76" fillId="0" borderId="14" xfId="0" applyNumberFormat="1" applyFont="1" applyFill="1" applyBorder="1" applyAlignment="1">
      <alignment horizontal="right"/>
    </xf>
    <xf numFmtId="0" fontId="0" fillId="0" borderId="0" xfId="0" applyAlignment="1"/>
    <xf numFmtId="0" fontId="102" fillId="2" borderId="0" xfId="0" applyFont="1" applyFill="1" applyAlignment="1">
      <alignment horizontal="left" vertical="center"/>
    </xf>
    <xf numFmtId="0" fontId="103" fillId="2" borderId="0" xfId="0" applyFont="1" applyFill="1"/>
    <xf numFmtId="3" fontId="103" fillId="2" borderId="0" xfId="0" applyNumberFormat="1" applyFont="1" applyFill="1"/>
    <xf numFmtId="0" fontId="104" fillId="2" borderId="0" xfId="0" applyFont="1" applyFill="1" applyAlignment="1">
      <alignment horizontal="left" vertical="center"/>
    </xf>
    <xf numFmtId="0" fontId="105" fillId="2" borderId="0" xfId="0" applyFont="1" applyFill="1"/>
    <xf numFmtId="3" fontId="105" fillId="2" borderId="0" xfId="0" applyNumberFormat="1" applyFont="1" applyFill="1"/>
    <xf numFmtId="0" fontId="106" fillId="0" borderId="0" xfId="0" applyFont="1" applyFill="1" applyAlignment="1">
      <alignment horizontal="left" vertical="center"/>
    </xf>
    <xf numFmtId="0" fontId="81" fillId="0" borderId="0" xfId="0" applyFont="1" applyFill="1"/>
    <xf numFmtId="0" fontId="81" fillId="0" borderId="0" xfId="0" applyFont="1" applyFill="1" applyAlignment="1">
      <alignment vertical="center"/>
    </xf>
    <xf numFmtId="3" fontId="107" fillId="0" borderId="0" xfId="0" applyNumberFormat="1" applyFont="1" applyFill="1" applyAlignment="1">
      <alignment vertical="center"/>
    </xf>
    <xf numFmtId="3" fontId="108" fillId="0" borderId="0" xfId="0" applyNumberFormat="1" applyFont="1" applyFill="1" applyAlignment="1">
      <alignment vertical="center"/>
    </xf>
    <xf numFmtId="3" fontId="109" fillId="0" borderId="0" xfId="0" applyNumberFormat="1" applyFont="1" applyAlignment="1">
      <alignment vertical="center"/>
    </xf>
    <xf numFmtId="3" fontId="91" fillId="0" borderId="0" xfId="0" applyNumberFormat="1" applyFont="1"/>
    <xf numFmtId="0" fontId="75" fillId="0" borderId="0" xfId="0" applyFont="1" applyFill="1" applyBorder="1"/>
    <xf numFmtId="0" fontId="75" fillId="0" borderId="0" xfId="0" applyFont="1" applyFill="1" applyBorder="1" applyAlignment="1">
      <alignment vertical="center"/>
    </xf>
    <xf numFmtId="3" fontId="75" fillId="0" borderId="0" xfId="0" applyNumberFormat="1" applyFont="1" applyFill="1" applyBorder="1"/>
    <xf numFmtId="3" fontId="79" fillId="0" borderId="0" xfId="0" applyNumberFormat="1" applyFont="1" applyFill="1" applyAlignment="1"/>
    <xf numFmtId="0" fontId="78" fillId="32" borderId="0" xfId="0" applyFont="1" applyFill="1" applyBorder="1"/>
    <xf numFmtId="0" fontId="78" fillId="0" borderId="0" xfId="0" applyFont="1" applyFill="1" applyBorder="1" applyAlignment="1">
      <alignment horizontal="centerContinuous" vertical="justify"/>
    </xf>
    <xf numFmtId="0" fontId="76" fillId="0" borderId="0" xfId="0" applyFont="1" applyFill="1" applyBorder="1" applyAlignment="1">
      <alignment horizontal="right" vertical="center" wrapText="1"/>
    </xf>
    <xf numFmtId="189" fontId="77" fillId="0" borderId="1" xfId="0" quotePrefix="1" applyNumberFormat="1" applyFont="1" applyFill="1" applyBorder="1" applyAlignment="1">
      <alignment horizontal="center" vertical="center" wrapText="1"/>
    </xf>
    <xf numFmtId="0" fontId="77" fillId="0" borderId="1" xfId="0" applyFont="1" applyFill="1" applyBorder="1" applyAlignment="1">
      <alignment horizontal="center" vertical="center" wrapText="1"/>
    </xf>
    <xf numFmtId="3" fontId="78" fillId="0" borderId="0" xfId="0" applyNumberFormat="1" applyFont="1" applyFill="1" applyBorder="1" applyAlignment="1">
      <alignment horizontal="left" vertical="center"/>
    </xf>
    <xf numFmtId="3" fontId="76" fillId="0" borderId="0" xfId="0" applyNumberFormat="1" applyFont="1" applyFill="1" applyBorder="1" applyAlignment="1">
      <alignment horizontal="left" vertical="center"/>
    </xf>
    <xf numFmtId="3" fontId="78" fillId="0" borderId="0" xfId="0" applyNumberFormat="1" applyFont="1" applyFill="1" applyBorder="1" applyAlignment="1">
      <alignment horizontal="right" vertical="center"/>
    </xf>
    <xf numFmtId="3" fontId="78" fillId="0" borderId="0" xfId="0" applyNumberFormat="1" applyFont="1" applyFill="1" applyBorder="1"/>
    <xf numFmtId="3" fontId="98" fillId="3" borderId="0" xfId="0" applyNumberFormat="1" applyFont="1" applyFill="1" applyBorder="1" applyAlignment="1">
      <alignment horizontal="left" vertical="center"/>
    </xf>
    <xf numFmtId="0" fontId="85" fillId="0" borderId="0" xfId="0" applyFont="1" applyFill="1" applyBorder="1" applyAlignment="1">
      <alignment horizontal="left" vertical="center"/>
    </xf>
    <xf numFmtId="0" fontId="80" fillId="2" borderId="0" xfId="0" applyFont="1" applyFill="1" applyAlignment="1">
      <alignment horizontal="left" vertical="center"/>
    </xf>
    <xf numFmtId="3" fontId="76" fillId="0" borderId="14" xfId="0" applyNumberFormat="1" applyFont="1" applyFill="1" applyBorder="1" applyAlignment="1">
      <alignment vertical="center"/>
    </xf>
    <xf numFmtId="3" fontId="85" fillId="0" borderId="0" xfId="0" applyNumberFormat="1" applyFont="1" applyFill="1" applyAlignment="1"/>
    <xf numFmtId="3" fontId="110" fillId="2" borderId="0" xfId="0" quotePrefix="1" applyNumberFormat="1" applyFont="1" applyFill="1" applyBorder="1"/>
    <xf numFmtId="0" fontId="80" fillId="2" borderId="0" xfId="152" applyFont="1" applyFill="1"/>
    <xf numFmtId="0" fontId="3" fillId="0" borderId="0" xfId="152"/>
    <xf numFmtId="0" fontId="76" fillId="0" borderId="0" xfId="152" applyFont="1" applyFill="1"/>
    <xf numFmtId="0" fontId="76" fillId="0" borderId="0" xfId="151" applyFont="1" applyFill="1" applyAlignment="1">
      <alignment vertical="center"/>
    </xf>
    <xf numFmtId="0" fontId="111" fillId="0" borderId="0" xfId="152" applyFont="1" applyAlignment="1">
      <alignment vertical="center"/>
    </xf>
    <xf numFmtId="0" fontId="76" fillId="0" borderId="0" xfId="151" applyFont="1" applyFill="1" applyAlignment="1">
      <alignment horizontal="left" indent="2"/>
    </xf>
    <xf numFmtId="0" fontId="78" fillId="0" borderId="14" xfId="151" applyFont="1" applyFill="1" applyBorder="1"/>
    <xf numFmtId="0" fontId="78" fillId="0" borderId="0" xfId="151" applyFont="1" applyFill="1" applyBorder="1"/>
    <xf numFmtId="3" fontId="78" fillId="0" borderId="0" xfId="152" applyNumberFormat="1" applyFont="1" applyFill="1"/>
    <xf numFmtId="3" fontId="112" fillId="0" borderId="0" xfId="152" applyNumberFormat="1" applyFont="1"/>
    <xf numFmtId="0" fontId="21" fillId="0" borderId="0" xfId="152" applyFont="1"/>
    <xf numFmtId="3" fontId="76" fillId="0" borderId="14" xfId="0" applyNumberFormat="1" applyFont="1" applyFill="1" applyBorder="1" applyProtection="1">
      <protection hidden="1"/>
    </xf>
    <xf numFmtId="190" fontId="112" fillId="0" borderId="0" xfId="152" applyNumberFormat="1" applyFont="1"/>
    <xf numFmtId="3" fontId="21" fillId="0" borderId="0" xfId="152" applyNumberFormat="1" applyFont="1"/>
    <xf numFmtId="3" fontId="76" fillId="33" borderId="14" xfId="0" applyNumberFormat="1" applyFont="1" applyFill="1" applyBorder="1" applyProtection="1">
      <protection hidden="1"/>
    </xf>
    <xf numFmtId="3" fontId="76" fillId="33" borderId="0" xfId="0" applyNumberFormat="1" applyFont="1" applyFill="1" applyBorder="1" applyAlignment="1">
      <alignment horizontal="right"/>
    </xf>
    <xf numFmtId="3" fontId="76" fillId="0" borderId="14" xfId="0" applyNumberFormat="1" applyFont="1" applyFill="1" applyBorder="1" applyAlignment="1" applyProtection="1">
      <alignment horizontal="right"/>
      <protection hidden="1"/>
    </xf>
    <xf numFmtId="3" fontId="76" fillId="33" borderId="14" xfId="0" applyNumberFormat="1" applyFont="1" applyFill="1" applyBorder="1" applyAlignment="1" applyProtection="1">
      <alignment horizontal="right"/>
      <protection hidden="1"/>
    </xf>
    <xf numFmtId="3" fontId="98" fillId="3" borderId="14" xfId="0" applyNumberFormat="1" applyFont="1" applyFill="1" applyBorder="1" applyAlignment="1" applyProtection="1">
      <alignment vertical="center"/>
      <protection hidden="1"/>
    </xf>
    <xf numFmtId="3" fontId="98" fillId="3" borderId="0" xfId="0" applyNumberFormat="1" applyFont="1" applyFill="1" applyBorder="1" applyAlignment="1">
      <alignment horizontal="right" vertical="center"/>
    </xf>
    <xf numFmtId="0" fontId="112" fillId="0" borderId="0" xfId="152" applyFont="1"/>
    <xf numFmtId="0" fontId="78" fillId="0" borderId="0" xfId="151" applyFont="1" applyFill="1"/>
    <xf numFmtId="3" fontId="78" fillId="0" borderId="14" xfId="153" applyNumberFormat="1" applyFont="1" applyFill="1" applyBorder="1" applyAlignment="1" applyProtection="1">
      <alignment horizontal="right"/>
      <protection hidden="1"/>
    </xf>
    <xf numFmtId="3" fontId="78" fillId="0" borderId="0" xfId="153" applyNumberFormat="1" applyFont="1" applyFill="1" applyBorder="1" applyAlignment="1">
      <alignment horizontal="right"/>
    </xf>
    <xf numFmtId="3" fontId="76" fillId="0" borderId="0" xfId="0" applyNumberFormat="1" applyFont="1" applyFill="1" applyBorder="1" applyProtection="1">
      <protection hidden="1"/>
    </xf>
    <xf numFmtId="3" fontId="78" fillId="0" borderId="14" xfId="0" applyNumberFormat="1" applyFont="1" applyFill="1" applyBorder="1" applyAlignment="1" applyProtection="1">
      <alignment vertical="center"/>
      <protection hidden="1"/>
    </xf>
    <xf numFmtId="3" fontId="78" fillId="0" borderId="0" xfId="0" applyNumberFormat="1" applyFont="1" applyFill="1" applyBorder="1" applyAlignment="1" applyProtection="1">
      <alignment vertical="center"/>
      <protection hidden="1"/>
    </xf>
    <xf numFmtId="0" fontId="76" fillId="0" borderId="0" xfId="151" applyFont="1" applyFill="1" applyAlignment="1">
      <alignment horizontal="left"/>
    </xf>
    <xf numFmtId="3" fontId="78" fillId="0" borderId="0" xfId="153" applyNumberFormat="1" applyFont="1" applyFill="1" applyBorder="1" applyAlignment="1" applyProtection="1">
      <alignment horizontal="right"/>
      <protection hidden="1"/>
    </xf>
    <xf numFmtId="0" fontId="21" fillId="0" borderId="0" xfId="152" applyFont="1" applyFill="1"/>
    <xf numFmtId="3" fontId="112" fillId="34" borderId="0" xfId="152" applyNumberFormat="1" applyFont="1" applyFill="1"/>
    <xf numFmtId="0" fontId="112" fillId="34" borderId="0" xfId="152" applyFont="1" applyFill="1"/>
    <xf numFmtId="188" fontId="78" fillId="0" borderId="0" xfId="152" applyNumberFormat="1" applyFont="1" applyFill="1"/>
    <xf numFmtId="4" fontId="76" fillId="0" borderId="0" xfId="152" applyNumberFormat="1" applyFont="1" applyFill="1" applyProtection="1">
      <protection hidden="1"/>
    </xf>
    <xf numFmtId="0" fontId="78" fillId="0" borderId="0" xfId="152" applyFont="1" applyFill="1"/>
    <xf numFmtId="188" fontId="112" fillId="0" borderId="0" xfId="152" applyNumberFormat="1" applyFont="1"/>
    <xf numFmtId="3" fontId="110" fillId="2" borderId="0" xfId="0" applyNumberFormat="1" applyFont="1" applyFill="1" applyAlignment="1">
      <alignment vertical="center"/>
    </xf>
    <xf numFmtId="3" fontId="78" fillId="0" borderId="14" xfId="0" applyNumberFormat="1" applyFont="1" applyFill="1" applyBorder="1"/>
    <xf numFmtId="3" fontId="78" fillId="0" borderId="15" xfId="0" applyNumberFormat="1" applyFont="1" applyFill="1" applyBorder="1" applyAlignment="1">
      <alignment horizontal="right"/>
    </xf>
    <xf numFmtId="3" fontId="78" fillId="0" borderId="0" xfId="0" applyNumberFormat="1" applyFont="1" applyFill="1" applyAlignment="1">
      <alignment horizontal="right"/>
    </xf>
    <xf numFmtId="3" fontId="98" fillId="3" borderId="14" xfId="0" applyNumberFormat="1" applyFont="1" applyFill="1" applyBorder="1"/>
    <xf numFmtId="3" fontId="98" fillId="3" borderId="0" xfId="0" applyNumberFormat="1" applyFont="1" applyFill="1" applyBorder="1" applyAlignment="1">
      <alignment horizontal="right"/>
    </xf>
    <xf numFmtId="3" fontId="98" fillId="3" borderId="15" xfId="0" applyNumberFormat="1" applyFont="1" applyFill="1" applyBorder="1" applyAlignment="1">
      <alignment horizontal="right"/>
    </xf>
    <xf numFmtId="3" fontId="98" fillId="3" borderId="0" xfId="0" applyNumberFormat="1" applyFont="1" applyFill="1" applyAlignment="1">
      <alignment horizontal="right"/>
    </xf>
    <xf numFmtId="3" fontId="98" fillId="3" borderId="0" xfId="0" applyNumberFormat="1" applyFont="1" applyFill="1" applyBorder="1"/>
    <xf numFmtId="3" fontId="76" fillId="0" borderId="0" xfId="0" applyNumberFormat="1" applyFont="1" applyFill="1" applyAlignment="1">
      <alignment vertical="center" wrapText="1"/>
    </xf>
    <xf numFmtId="0" fontId="113" fillId="2" borderId="0" xfId="0" applyFont="1" applyFill="1" applyAlignment="1">
      <alignment vertical="center" wrapText="1"/>
    </xf>
    <xf numFmtId="0" fontId="0" fillId="34" borderId="0" xfId="0" applyFill="1"/>
    <xf numFmtId="0" fontId="79" fillId="0" borderId="0" xfId="0" applyFont="1" applyFill="1" applyAlignment="1">
      <alignment vertical="center" wrapText="1"/>
    </xf>
    <xf numFmtId="0" fontId="0" fillId="0" borderId="0" xfId="0" applyFill="1" applyAlignment="1"/>
    <xf numFmtId="3" fontId="98" fillId="0" borderId="0" xfId="0" applyNumberFormat="1" applyFont="1" applyFill="1" applyBorder="1"/>
    <xf numFmtId="4" fontId="0" fillId="0" borderId="0" xfId="0" applyNumberFormat="1" applyFill="1"/>
    <xf numFmtId="3" fontId="85" fillId="0" borderId="0" xfId="0" applyNumberFormat="1" applyFont="1" applyFill="1" applyAlignment="1">
      <alignment horizontal="left" vertical="center" wrapText="1"/>
    </xf>
    <xf numFmtId="0" fontId="77" fillId="0" borderId="14" xfId="0" applyFont="1" applyFill="1" applyBorder="1" applyAlignment="1">
      <alignment horizontal="center" wrapText="1"/>
    </xf>
    <xf numFmtId="0" fontId="77" fillId="0" borderId="0" xfId="0" applyFont="1" applyFill="1" applyBorder="1" applyAlignment="1">
      <alignment horizontal="center" wrapText="1"/>
    </xf>
    <xf numFmtId="3" fontId="76" fillId="0" borderId="0" xfId="0" applyNumberFormat="1" applyFont="1" applyFill="1" applyAlignment="1">
      <alignment horizontal="left" vertical="center" wrapText="1"/>
    </xf>
    <xf numFmtId="3" fontId="79" fillId="0" borderId="0" xfId="0" applyNumberFormat="1" applyFont="1" applyFill="1" applyAlignment="1">
      <alignment horizontal="left" vertical="center" wrapText="1"/>
    </xf>
    <xf numFmtId="0" fontId="85" fillId="0" borderId="0" xfId="0" applyFont="1" applyFill="1" applyBorder="1" applyAlignment="1">
      <alignment horizontal="left" vertical="center" wrapText="1"/>
    </xf>
    <xf numFmtId="0" fontId="77" fillId="0" borderId="0" xfId="0" applyFont="1" applyFill="1" applyBorder="1" applyAlignment="1">
      <alignment horizontal="center" vertical="center"/>
    </xf>
    <xf numFmtId="0" fontId="72" fillId="2" borderId="0" xfId="0" applyFont="1" applyFill="1" applyAlignment="1">
      <alignment horizontal="left" vertical="center" wrapText="1"/>
    </xf>
    <xf numFmtId="0" fontId="74" fillId="0" borderId="0" xfId="0" applyFont="1" applyFill="1" applyAlignment="1">
      <alignment horizontal="left" vertical="center" wrapText="1"/>
    </xf>
    <xf numFmtId="0" fontId="77" fillId="0" borderId="15" xfId="0" applyFont="1" applyFill="1" applyBorder="1" applyAlignment="1">
      <alignment horizontal="center" wrapText="1"/>
    </xf>
    <xf numFmtId="0" fontId="87" fillId="0" borderId="1" xfId="0" applyFont="1" applyFill="1" applyBorder="1" applyAlignment="1">
      <alignment horizontal="center" vertical="center"/>
    </xf>
    <xf numFmtId="0" fontId="86" fillId="0" borderId="0" xfId="0" applyFont="1" applyFill="1" applyBorder="1" applyAlignment="1">
      <alignment horizontal="center"/>
    </xf>
    <xf numFmtId="0" fontId="1" fillId="0" borderId="0" xfId="128" applyNumberFormat="1" applyAlignment="1">
      <alignment horizontal="center" wrapText="1"/>
    </xf>
    <xf numFmtId="0" fontId="77" fillId="0" borderId="0" xfId="128" applyFont="1" applyFill="1" applyAlignment="1">
      <alignment horizontal="center" vertical="center"/>
    </xf>
  </cellXfs>
  <cellStyles count="188">
    <cellStyle name="_x000b_À_x000d__x0014__x0016_À_x0018__x001a_À_x001d_" xfId="7"/>
    <cellStyle name="20% - Accent1" xfId="8"/>
    <cellStyle name="20% - Accent2" xfId="9"/>
    <cellStyle name="20% - Accent3" xfId="10"/>
    <cellStyle name="20% - Accent4" xfId="11"/>
    <cellStyle name="20% - Accent5" xfId="12"/>
    <cellStyle name="20% - Accent6" xfId="13"/>
    <cellStyle name="40% - Accent1" xfId="14"/>
    <cellStyle name="40% - Accent2" xfId="15"/>
    <cellStyle name="40% - Accent3" xfId="16"/>
    <cellStyle name="40% - Accent4" xfId="17"/>
    <cellStyle name="40% - Accent5" xfId="18"/>
    <cellStyle name="40% - Accent6" xfId="19"/>
    <cellStyle name="60% - Accent1" xfId="20"/>
    <cellStyle name="60% - Accent2" xfId="21"/>
    <cellStyle name="60% - Accent3" xfId="22"/>
    <cellStyle name="60% - Accent4" xfId="23"/>
    <cellStyle name="60% - Accent5" xfId="24"/>
    <cellStyle name="60% - Accent6" xfId="25"/>
    <cellStyle name="Accent1" xfId="26"/>
    <cellStyle name="Accent2" xfId="27"/>
    <cellStyle name="Accent3" xfId="28"/>
    <cellStyle name="Accent4" xfId="29"/>
    <cellStyle name="Accent5" xfId="30"/>
    <cellStyle name="Accent6" xfId="31"/>
    <cellStyle name="Bad" xfId="32"/>
    <cellStyle name="Body" xfId="33"/>
    <cellStyle name="bstitutes]_x000d__x000a_; The following mappings take Word for MS-DOS names, PostScript names, and TrueType_x000d__x000a_; names into account" xfId="34"/>
    <cellStyle name="bstitutes]_x000d__x000a_; The following mappings take Word for MS-DOS names, PostScript names, and TrueType_x000d__x000a_; names into account 2" xfId="35"/>
    <cellStyle name="bstitutes]_x000d__x000a_; The following mappings take Word for MS-DOS names, PostScript names, and TrueType_x000d__x000a_; names into account 3" xfId="36"/>
    <cellStyle name="CACA" xfId="37"/>
    <cellStyle name="calculated" xfId="38"/>
    <cellStyle name="Calculation" xfId="39"/>
    <cellStyle name="Cambiar to&amp;do" xfId="40"/>
    <cellStyle name="Coma" xfId="41"/>
    <cellStyle name="Comma  - Style1" xfId="42"/>
    <cellStyle name="Comma0" xfId="43"/>
    <cellStyle name="Curren - Style2" xfId="44"/>
    <cellStyle name="Currency0" xfId="45"/>
    <cellStyle name="Date" xfId="46"/>
    <cellStyle name="Desprotege" xfId="47"/>
    <cellStyle name="EnMiles" xfId="48"/>
    <cellStyle name="EnMillones" xfId="49"/>
    <cellStyle name="EnMillones 2" xfId="50"/>
    <cellStyle name="Estilo 1" xfId="51"/>
    <cellStyle name="Estilo 1 2" xfId="52"/>
    <cellStyle name="Estilo 1 3" xfId="53"/>
    <cellStyle name="Estilo 1 4" xfId="54"/>
    <cellStyle name="Estilo 10" xfId="55"/>
    <cellStyle name="Estilo 11" xfId="56"/>
    <cellStyle name="Estilo 12" xfId="57"/>
    <cellStyle name="Estilo 13" xfId="58"/>
    <cellStyle name="Estilo 2" xfId="59"/>
    <cellStyle name="Estilo 2 2" xfId="60"/>
    <cellStyle name="Estilo 3" xfId="61"/>
    <cellStyle name="Estilo 4" xfId="62"/>
    <cellStyle name="Estilo 5" xfId="63"/>
    <cellStyle name="Estilo 6" xfId="64"/>
    <cellStyle name="Estilo 7" xfId="65"/>
    <cellStyle name="Estilo 8" xfId="66"/>
    <cellStyle name="Estilo 9" xfId="67"/>
    <cellStyle name="Euro" xfId="68"/>
    <cellStyle name="Euro 2" xfId="69"/>
    <cellStyle name="Euro 3" xfId="70"/>
    <cellStyle name="Euro 4" xfId="71"/>
    <cellStyle name="Euro 5" xfId="72"/>
    <cellStyle name="Explanatory Text" xfId="73"/>
    <cellStyle name="Fecha" xfId="74"/>
    <cellStyle name="Fixed" xfId="75"/>
    <cellStyle name="Followed Hyperlink 2" xfId="76"/>
    <cellStyle name="Followed Hyperlink 3" xfId="77"/>
    <cellStyle name="FRxAmtStyle" xfId="78"/>
    <cellStyle name="FRxAmtStyle 2" xfId="79"/>
    <cellStyle name="FRxAmtStyle_BTS with DE 2009" xfId="80"/>
    <cellStyle name="FRxCurrStyle" xfId="81"/>
    <cellStyle name="FRxCurrStyle 2" xfId="82"/>
    <cellStyle name="FRxCurrStyle_BTS with DE 2009" xfId="83"/>
    <cellStyle name="FRxPcntStyle" xfId="84"/>
    <cellStyle name="FRxPcntStyle 2" xfId="85"/>
    <cellStyle name="globaldir" xfId="86"/>
    <cellStyle name="Heading 1" xfId="87"/>
    <cellStyle name="Heading 1 2" xfId="88"/>
    <cellStyle name="Heading 2" xfId="89"/>
    <cellStyle name="Heading 2 2" xfId="90"/>
    <cellStyle name="Heading 3" xfId="91"/>
    <cellStyle name="HEADING1" xfId="92"/>
    <cellStyle name="HEADING2" xfId="93"/>
    <cellStyle name="MF SEM" xfId="94"/>
    <cellStyle name="Millares" xfId="1" builtinId="3"/>
    <cellStyle name="Millares 2" xfId="95"/>
    <cellStyle name="Millares 2 2" xfId="96"/>
    <cellStyle name="Millares 3" xfId="97"/>
    <cellStyle name="Millones" xfId="98"/>
    <cellStyle name="Moeda [0]_1805" xfId="99"/>
    <cellStyle name="Moeda_1805" xfId="100"/>
    <cellStyle name="monaco" xfId="101"/>
    <cellStyle name="Neutral 2" xfId="102"/>
    <cellStyle name="no dec" xfId="103"/>
    <cellStyle name="No-definido" xfId="104"/>
    <cellStyle name="Normal" xfId="0" builtinId="0"/>
    <cellStyle name="Normal - Style1" xfId="105"/>
    <cellStyle name="Normal 10" xfId="106"/>
    <cellStyle name="Normal 11" xfId="107"/>
    <cellStyle name="Normal 12" xfId="108"/>
    <cellStyle name="Normal 13" xfId="109"/>
    <cellStyle name="Normal 14" xfId="110"/>
    <cellStyle name="Normal 15" xfId="111"/>
    <cellStyle name="Normal 16" xfId="112"/>
    <cellStyle name="Normal 165" xfId="113"/>
    <cellStyle name="Normal 17" xfId="114"/>
    <cellStyle name="Normal 18" xfId="115"/>
    <cellStyle name="Normal 19" xfId="116"/>
    <cellStyle name="Normal 2" xfId="4"/>
    <cellStyle name="Normal 2 2" xfId="117"/>
    <cellStyle name="Normal 2 2 2" xfId="118"/>
    <cellStyle name="Normal 20" xfId="119"/>
    <cellStyle name="Normal 21" xfId="120"/>
    <cellStyle name="Normal 22" xfId="121"/>
    <cellStyle name="Normal 23" xfId="122"/>
    <cellStyle name="Normal 24" xfId="123"/>
    <cellStyle name="Normal 25" xfId="124"/>
    <cellStyle name="Normal 26" xfId="125"/>
    <cellStyle name="Normal 27" xfId="126"/>
    <cellStyle name="Normal 28" xfId="127"/>
    <cellStyle name="Normal 29" xfId="128"/>
    <cellStyle name="Normal 3" xfId="6"/>
    <cellStyle name="Normal 3 2" xfId="129"/>
    <cellStyle name="Normal 30" xfId="130"/>
    <cellStyle name="Normal 31" xfId="131"/>
    <cellStyle name="Normal 32" xfId="132"/>
    <cellStyle name="Normal 33" xfId="133"/>
    <cellStyle name="Normal 34" xfId="134"/>
    <cellStyle name="Normal 35" xfId="135"/>
    <cellStyle name="Normal 36" xfId="136"/>
    <cellStyle name="Normal 37" xfId="137"/>
    <cellStyle name="Normal 38" xfId="138"/>
    <cellStyle name="Normal 39" xfId="139"/>
    <cellStyle name="Normal 4" xfId="140"/>
    <cellStyle name="Normal 5" xfId="141"/>
    <cellStyle name="Normal 52" xfId="142"/>
    <cellStyle name="Normal 52 2" xfId="143"/>
    <cellStyle name="Normal 6" xfId="144"/>
    <cellStyle name="Normal 6 2" xfId="145"/>
    <cellStyle name="Normal 7" xfId="146"/>
    <cellStyle name="Normal 8" xfId="147"/>
    <cellStyle name="Normal 9" xfId="148"/>
    <cellStyle name="Normal_08 pagweb-4T08 1 2" xfId="3"/>
    <cellStyle name="Normal_ANEXO" xfId="149"/>
    <cellStyle name="Normal_Anexo analistas 1T06 vínculos" xfId="150"/>
    <cellStyle name="Normal_Balance Público" xfId="151"/>
    <cellStyle name="Normal_Libro1" xfId="152"/>
    <cellStyle name="Normal_Series Grupo Mora ROE y Eficiencia" xfId="153"/>
    <cellStyle name="Normal_Series web Sabadell 1T10-desprotegido" xfId="5"/>
    <cellStyle name="Note 2" xfId="154"/>
    <cellStyle name="Output" xfId="155"/>
    <cellStyle name="Porcentaje" xfId="2" builtinId="5"/>
    <cellStyle name="Porcentaje 10" xfId="156"/>
    <cellStyle name="Porcentaje 10 2" xfId="157"/>
    <cellStyle name="Porcentaje 2" xfId="158"/>
    <cellStyle name="Porcentaje 2 2" xfId="159"/>
    <cellStyle name="Porcentaje 2 3" xfId="160"/>
    <cellStyle name="Porcentaje 3" xfId="161"/>
    <cellStyle name="Porcentaje 3 2" xfId="162"/>
    <cellStyle name="Porcentaje 4" xfId="163"/>
    <cellStyle name="Porcentaje 4 2" xfId="164"/>
    <cellStyle name="Porcentaje 5" xfId="165"/>
    <cellStyle name="Porcentaje 6" xfId="166"/>
    <cellStyle name="Porcentual 2" xfId="167"/>
    <cellStyle name="Separador de milhares [0]_ADM" xfId="168"/>
    <cellStyle name="Separador de milhares_ADM" xfId="169"/>
    <cellStyle name="Sincoma" xfId="170"/>
    <cellStyle name="Style 1" xfId="171"/>
    <cellStyle name="Style 2" xfId="172"/>
    <cellStyle name="STYLE1" xfId="173"/>
    <cellStyle name="STYLE1 2" xfId="174"/>
    <cellStyle name="STYLE1_BTS with DE 2009" xfId="175"/>
    <cellStyle name="STYLE2" xfId="176"/>
    <cellStyle name="STYLE2 2" xfId="177"/>
    <cellStyle name="STYLE2_BTS with DE 2009" xfId="178"/>
    <cellStyle name="STYLE3" xfId="179"/>
    <cellStyle name="STYLE4" xfId="180"/>
    <cellStyle name="TC" xfId="181"/>
    <cellStyle name="Title" xfId="182"/>
    <cellStyle name="titles" xfId="183"/>
    <cellStyle name="Titulo" xfId="184"/>
    <cellStyle name="Titulo_Calculadora N Anual ABRIL" xfId="185"/>
    <cellStyle name="Total 2" xfId="186"/>
    <cellStyle name="UDI" xfId="1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9D1F3"/>
      <rgbColor rgb="00003366"/>
      <rgbColor rgb="00FF0000"/>
      <rgbColor rgb="0000FF00"/>
      <rgbColor rgb="00FFFFFF"/>
      <rgbColor rgb="00FFFF00"/>
      <rgbColor rgb="00FF00FF"/>
      <rgbColor rgb="0000FFFF"/>
      <rgbColor rgb="003EB6BB"/>
      <rgbColor rgb="00FFFFFF"/>
      <rgbColor rgb="0086C82D"/>
      <rgbColor rgb="00FFFFFF"/>
      <rgbColor rgb="00800080"/>
      <rgbColor rgb="00FFFFFF"/>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B7C204"/>
      <rgbColor rgb="00666699"/>
      <rgbColor rgb="00969696"/>
      <rgbColor rgb="00006EC1"/>
      <rgbColor rgb="00339966"/>
      <rgbColor rgb="00094FA4"/>
      <rgbColor rgb="00009EE5"/>
      <rgbColor rgb="00F6891E"/>
      <rgbColor rgb="00993366"/>
      <rgbColor rgb="00FDBD2C"/>
      <rgbColor rgb="00C8175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externalLink" Target="externalLinks/externalLink29.xml"/><Relationship Id="rId63" Type="http://schemas.openxmlformats.org/officeDocument/2006/relationships/externalLink" Target="externalLinks/externalLink37.xml"/><Relationship Id="rId68" Type="http://schemas.openxmlformats.org/officeDocument/2006/relationships/externalLink" Target="externalLinks/externalLink42.xml"/><Relationship Id="rId76" Type="http://schemas.openxmlformats.org/officeDocument/2006/relationships/externalLink" Target="externalLinks/externalLink50.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45.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8" Type="http://schemas.openxmlformats.org/officeDocument/2006/relationships/externalLink" Target="externalLinks/externalLink32.xml"/><Relationship Id="rId66" Type="http://schemas.openxmlformats.org/officeDocument/2006/relationships/externalLink" Target="externalLinks/externalLink40.xml"/><Relationship Id="rId74" Type="http://schemas.openxmlformats.org/officeDocument/2006/relationships/externalLink" Target="externalLinks/externalLink48.xml"/><Relationship Id="rId79" Type="http://schemas.openxmlformats.org/officeDocument/2006/relationships/externalLink" Target="externalLinks/externalLink53.xml"/><Relationship Id="rId5" Type="http://schemas.openxmlformats.org/officeDocument/2006/relationships/worksheet" Target="worksheets/sheet5.xml"/><Relationship Id="rId61" Type="http://schemas.openxmlformats.org/officeDocument/2006/relationships/externalLink" Target="externalLinks/externalLink35.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externalLink" Target="externalLinks/externalLink30.xml"/><Relationship Id="rId64" Type="http://schemas.openxmlformats.org/officeDocument/2006/relationships/externalLink" Target="externalLinks/externalLink38.xml"/><Relationship Id="rId69" Type="http://schemas.openxmlformats.org/officeDocument/2006/relationships/externalLink" Target="externalLinks/externalLink43.xml"/><Relationship Id="rId77" Type="http://schemas.openxmlformats.org/officeDocument/2006/relationships/externalLink" Target="externalLinks/externalLink51.xml"/><Relationship Id="rId8" Type="http://schemas.openxmlformats.org/officeDocument/2006/relationships/worksheet" Target="worksheets/sheet8.xml"/><Relationship Id="rId51" Type="http://schemas.openxmlformats.org/officeDocument/2006/relationships/externalLink" Target="externalLinks/externalLink25.xml"/><Relationship Id="rId72" Type="http://schemas.openxmlformats.org/officeDocument/2006/relationships/externalLink" Target="externalLinks/externalLink46.xml"/><Relationship Id="rId80" Type="http://schemas.openxmlformats.org/officeDocument/2006/relationships/externalLink" Target="externalLinks/externalLink54.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externalLink" Target="externalLinks/externalLink33.xml"/><Relationship Id="rId67" Type="http://schemas.openxmlformats.org/officeDocument/2006/relationships/externalLink" Target="externalLinks/externalLink41.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externalLink" Target="externalLinks/externalLink28.xml"/><Relationship Id="rId62" Type="http://schemas.openxmlformats.org/officeDocument/2006/relationships/externalLink" Target="externalLinks/externalLink36.xml"/><Relationship Id="rId70" Type="http://schemas.openxmlformats.org/officeDocument/2006/relationships/externalLink" Target="externalLinks/externalLink44.xml"/><Relationship Id="rId75" Type="http://schemas.openxmlformats.org/officeDocument/2006/relationships/externalLink" Target="externalLinks/externalLink49.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externalLink" Target="externalLinks/externalLink31.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60" Type="http://schemas.openxmlformats.org/officeDocument/2006/relationships/externalLink" Target="externalLinks/externalLink34.xml"/><Relationship Id="rId65" Type="http://schemas.openxmlformats.org/officeDocument/2006/relationships/externalLink" Target="externalLinks/externalLink39.xml"/><Relationship Id="rId73" Type="http://schemas.openxmlformats.org/officeDocument/2006/relationships/externalLink" Target="externalLinks/externalLink47.xml"/><Relationship Id="rId78" Type="http://schemas.openxmlformats.org/officeDocument/2006/relationships/externalLink" Target="externalLinks/externalLink52.xml"/><Relationship Id="rId81" Type="http://schemas.openxmlformats.org/officeDocument/2006/relationships/externalLink" Target="externalLinks/externalLink55.xml"/></Relationships>
</file>

<file path=xl/ctrlProps/ctrlProp1.xml><?xml version="1.0" encoding="utf-8"?>
<formControlPr xmlns="http://schemas.microsoft.com/office/spreadsheetml/2009/9/main" objectType="Radio" checked="Checked" firstButton="1" fmlaLink="$F$2"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DICE!C15"/></Relationships>
</file>

<file path=xl/drawings/_rels/drawing11.xml.rels><?xml version="1.0" encoding="UTF-8" standalone="yes"?>
<Relationships xmlns="http://schemas.openxmlformats.org/package/2006/relationships"><Relationship Id="rId1" Type="http://schemas.openxmlformats.org/officeDocument/2006/relationships/hyperlink" Target="#INDICE!C16"/></Relationships>
</file>

<file path=xl/drawings/_rels/drawing12.xml.rels><?xml version="1.0" encoding="UTF-8" standalone="yes"?>
<Relationships xmlns="http://schemas.openxmlformats.org/package/2006/relationships"><Relationship Id="rId1" Type="http://schemas.openxmlformats.org/officeDocument/2006/relationships/hyperlink" Target="#INDICE!C17"/></Relationships>
</file>

<file path=xl/drawings/_rels/drawing13.xml.rels><?xml version="1.0" encoding="UTF-8" standalone="yes"?>
<Relationships xmlns="http://schemas.openxmlformats.org/package/2006/relationships"><Relationship Id="rId1" Type="http://schemas.openxmlformats.org/officeDocument/2006/relationships/hyperlink" Target="#INDICE!C18"/></Relationships>
</file>

<file path=xl/drawings/_rels/drawing14.xml.rels><?xml version="1.0" encoding="UTF-8" standalone="yes"?>
<Relationships xmlns="http://schemas.openxmlformats.org/package/2006/relationships"><Relationship Id="rId1" Type="http://schemas.openxmlformats.org/officeDocument/2006/relationships/hyperlink" Target="#INDICE!C19"/></Relationships>
</file>

<file path=xl/drawings/_rels/drawing15.xml.rels><?xml version="1.0" encoding="UTF-8" standalone="yes"?>
<Relationships xmlns="http://schemas.openxmlformats.org/package/2006/relationships"><Relationship Id="rId1" Type="http://schemas.openxmlformats.org/officeDocument/2006/relationships/hyperlink" Target="#INDICE!C20"/></Relationships>
</file>

<file path=xl/drawings/_rels/drawing16.xml.rels><?xml version="1.0" encoding="UTF-8" standalone="yes"?>
<Relationships xmlns="http://schemas.openxmlformats.org/package/2006/relationships"><Relationship Id="rId1" Type="http://schemas.openxmlformats.org/officeDocument/2006/relationships/hyperlink" Target="#INDICE!C21"/></Relationships>
</file>

<file path=xl/drawings/_rels/drawing17.xml.rels><?xml version="1.0" encoding="UTF-8" standalone="yes"?>
<Relationships xmlns="http://schemas.openxmlformats.org/package/2006/relationships"><Relationship Id="rId1" Type="http://schemas.openxmlformats.org/officeDocument/2006/relationships/hyperlink" Target="#INDICE!C24"/></Relationships>
</file>

<file path=xl/drawings/_rels/drawing18.xml.rels><?xml version="1.0" encoding="UTF-8" standalone="yes"?>
<Relationships xmlns="http://schemas.openxmlformats.org/package/2006/relationships"><Relationship Id="rId1" Type="http://schemas.openxmlformats.org/officeDocument/2006/relationships/hyperlink" Target="#INDICE!C26"/></Relationships>
</file>

<file path=xl/drawings/_rels/drawing19.xml.rels><?xml version="1.0" encoding="UTF-8" standalone="yes"?>
<Relationships xmlns="http://schemas.openxmlformats.org/package/2006/relationships"><Relationship Id="rId1" Type="http://schemas.openxmlformats.org/officeDocument/2006/relationships/hyperlink" Target="#INDICE!C27"/></Relationships>
</file>

<file path=xl/drawings/_rels/drawing2.xml.rels><?xml version="1.0" encoding="UTF-8" standalone="yes"?>
<Relationships xmlns="http://schemas.openxmlformats.org/package/2006/relationships"><Relationship Id="rId1" Type="http://schemas.openxmlformats.org/officeDocument/2006/relationships/hyperlink" Target="#INDICE!C5"/></Relationships>
</file>

<file path=xl/drawings/_rels/drawing20.xml.rels><?xml version="1.0" encoding="UTF-8" standalone="yes"?>
<Relationships xmlns="http://schemas.openxmlformats.org/package/2006/relationships"><Relationship Id="rId1" Type="http://schemas.openxmlformats.org/officeDocument/2006/relationships/hyperlink" Target="#INDICE!C28"/></Relationships>
</file>

<file path=xl/drawings/_rels/drawing21.xml.rels><?xml version="1.0" encoding="UTF-8" standalone="yes"?>
<Relationships xmlns="http://schemas.openxmlformats.org/package/2006/relationships"><Relationship Id="rId1" Type="http://schemas.openxmlformats.org/officeDocument/2006/relationships/hyperlink" Target="#INDICE!C29"/></Relationships>
</file>

<file path=xl/drawings/_rels/drawing22.xml.rels><?xml version="1.0" encoding="UTF-8" standalone="yes"?>
<Relationships xmlns="http://schemas.openxmlformats.org/package/2006/relationships"><Relationship Id="rId1" Type="http://schemas.openxmlformats.org/officeDocument/2006/relationships/hyperlink" Target="#INDICE!C30"/></Relationships>
</file>

<file path=xl/drawings/_rels/drawing23.xml.rels><?xml version="1.0" encoding="UTF-8" standalone="yes"?>
<Relationships xmlns="http://schemas.openxmlformats.org/package/2006/relationships"><Relationship Id="rId1" Type="http://schemas.openxmlformats.org/officeDocument/2006/relationships/hyperlink" Target="#INDICE!C31"/></Relationships>
</file>

<file path=xl/drawings/_rels/drawing24.xml.rels><?xml version="1.0" encoding="UTF-8" standalone="yes"?>
<Relationships xmlns="http://schemas.openxmlformats.org/package/2006/relationships"><Relationship Id="rId1" Type="http://schemas.openxmlformats.org/officeDocument/2006/relationships/hyperlink" Target="#INDICE!C32"/></Relationships>
</file>

<file path=xl/drawings/_rels/drawing25.xml.rels><?xml version="1.0" encoding="UTF-8" standalone="yes"?>
<Relationships xmlns="http://schemas.openxmlformats.org/package/2006/relationships"><Relationship Id="rId1" Type="http://schemas.openxmlformats.org/officeDocument/2006/relationships/hyperlink" Target="#INDICE!C33"/></Relationships>
</file>

<file path=xl/drawings/_rels/drawing3.xml.rels><?xml version="1.0" encoding="UTF-8" standalone="yes"?>
<Relationships xmlns="http://schemas.openxmlformats.org/package/2006/relationships"><Relationship Id="rId1" Type="http://schemas.openxmlformats.org/officeDocument/2006/relationships/hyperlink" Target="#INDICE!C6"/></Relationships>
</file>

<file path=xl/drawings/_rels/drawing4.xml.rels><?xml version="1.0" encoding="UTF-8" standalone="yes"?>
<Relationships xmlns="http://schemas.openxmlformats.org/package/2006/relationships"><Relationship Id="rId1" Type="http://schemas.openxmlformats.org/officeDocument/2006/relationships/hyperlink" Target="#INDICE!C9"/></Relationships>
</file>

<file path=xl/drawings/_rels/drawing5.xml.rels><?xml version="1.0" encoding="UTF-8" standalone="yes"?>
<Relationships xmlns="http://schemas.openxmlformats.org/package/2006/relationships"><Relationship Id="rId1" Type="http://schemas.openxmlformats.org/officeDocument/2006/relationships/hyperlink" Target="#INDICE!C10"/></Relationships>
</file>

<file path=xl/drawings/_rels/drawing6.xml.rels><?xml version="1.0" encoding="UTF-8" standalone="yes"?>
<Relationships xmlns="http://schemas.openxmlformats.org/package/2006/relationships"><Relationship Id="rId1" Type="http://schemas.openxmlformats.org/officeDocument/2006/relationships/hyperlink" Target="#INDICE!C11"/></Relationships>
</file>

<file path=xl/drawings/_rels/drawing7.xml.rels><?xml version="1.0" encoding="UTF-8" standalone="yes"?>
<Relationships xmlns="http://schemas.openxmlformats.org/package/2006/relationships"><Relationship Id="rId1" Type="http://schemas.openxmlformats.org/officeDocument/2006/relationships/hyperlink" Target="#INDICE!C12"/></Relationships>
</file>

<file path=xl/drawings/_rels/drawing8.xml.rels><?xml version="1.0" encoding="UTF-8" standalone="yes"?>
<Relationships xmlns="http://schemas.openxmlformats.org/package/2006/relationships"><Relationship Id="rId1" Type="http://schemas.openxmlformats.org/officeDocument/2006/relationships/hyperlink" Target="#INDICE!C13"/></Relationships>
</file>

<file path=xl/drawings/_rels/drawing9.xml.rels><?xml version="1.0" encoding="UTF-8" standalone="yes"?>
<Relationships xmlns="http://schemas.openxmlformats.org/package/2006/relationships"><Relationship Id="rId1" Type="http://schemas.openxmlformats.org/officeDocument/2006/relationships/hyperlink" Target="#INDICE!C14"/></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7</xdr:row>
          <xdr:rowOff>0</xdr:rowOff>
        </xdr:from>
        <xdr:to>
          <xdr:col>0</xdr:col>
          <xdr:colOff>419100</xdr:colOff>
          <xdr:row>7</xdr:row>
          <xdr:rowOff>266700</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0099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xdr:row>
          <xdr:rowOff>0</xdr:rowOff>
        </xdr:from>
        <xdr:to>
          <xdr:col>0</xdr:col>
          <xdr:colOff>409575</xdr:colOff>
          <xdr:row>6</xdr:row>
          <xdr:rowOff>228600</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0099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19050</xdr:colOff>
      <xdr:row>2</xdr:row>
      <xdr:rowOff>38100</xdr:rowOff>
    </xdr:to>
    <xdr:pic>
      <xdr:nvPicPr>
        <xdr:cNvPr id="4"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7146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421902</xdr:colOff>
      <xdr:row>3</xdr:row>
      <xdr:rowOff>1</xdr:rowOff>
    </xdr:from>
    <xdr:to>
      <xdr:col>10</xdr:col>
      <xdr:colOff>109189</xdr:colOff>
      <xdr:row>7</xdr:row>
      <xdr:rowOff>56029</xdr:rowOff>
    </xdr:to>
    <xdr:sp macro="" textlink="">
      <xdr:nvSpPr>
        <xdr:cNvPr id="2" name="1 Rectángulo redondeado">
          <a:hlinkClick xmlns:r="http://schemas.openxmlformats.org/officeDocument/2006/relationships" r:id="rId1"/>
        </xdr:cNvPr>
        <xdr:cNvSpPr/>
      </xdr:nvSpPr>
      <xdr:spPr bwMode="auto">
        <a:xfrm>
          <a:off x="10585077" y="685801"/>
          <a:ext cx="1211287" cy="827553"/>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209550</xdr:colOff>
      <xdr:row>1</xdr:row>
      <xdr:rowOff>123826</xdr:rowOff>
    </xdr:from>
    <xdr:to>
      <xdr:col>10</xdr:col>
      <xdr:colOff>619125</xdr:colOff>
      <xdr:row>5</xdr:row>
      <xdr:rowOff>122704</xdr:rowOff>
    </xdr:to>
    <xdr:sp macro="" textlink="">
      <xdr:nvSpPr>
        <xdr:cNvPr id="2" name="1 Rectángulo redondeado">
          <a:hlinkClick xmlns:r="http://schemas.openxmlformats.org/officeDocument/2006/relationships" r:id="rId1"/>
        </xdr:cNvPr>
        <xdr:cNvSpPr/>
      </xdr:nvSpPr>
      <xdr:spPr bwMode="auto">
        <a:xfrm>
          <a:off x="10363200" y="352426"/>
          <a:ext cx="1171575" cy="83707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421902</xdr:colOff>
      <xdr:row>3</xdr:row>
      <xdr:rowOff>1</xdr:rowOff>
    </xdr:from>
    <xdr:to>
      <xdr:col>10</xdr:col>
      <xdr:colOff>109189</xdr:colOff>
      <xdr:row>7</xdr:row>
      <xdr:rowOff>56029</xdr:rowOff>
    </xdr:to>
    <xdr:sp macro="" textlink="">
      <xdr:nvSpPr>
        <xdr:cNvPr id="2" name="1 Rectángulo redondeado">
          <a:hlinkClick xmlns:r="http://schemas.openxmlformats.org/officeDocument/2006/relationships" r:id="rId1"/>
        </xdr:cNvPr>
        <xdr:cNvSpPr/>
      </xdr:nvSpPr>
      <xdr:spPr bwMode="auto">
        <a:xfrm>
          <a:off x="10766052" y="685801"/>
          <a:ext cx="1211287" cy="81802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421902</xdr:colOff>
      <xdr:row>3</xdr:row>
      <xdr:rowOff>1</xdr:rowOff>
    </xdr:from>
    <xdr:to>
      <xdr:col>10</xdr:col>
      <xdr:colOff>109189</xdr:colOff>
      <xdr:row>7</xdr:row>
      <xdr:rowOff>56029</xdr:rowOff>
    </xdr:to>
    <xdr:sp macro="" textlink="">
      <xdr:nvSpPr>
        <xdr:cNvPr id="2" name="1 Rectángulo redondeado">
          <a:hlinkClick xmlns:r="http://schemas.openxmlformats.org/officeDocument/2006/relationships" r:id="rId1"/>
        </xdr:cNvPr>
        <xdr:cNvSpPr/>
      </xdr:nvSpPr>
      <xdr:spPr bwMode="auto">
        <a:xfrm>
          <a:off x="10766052" y="685801"/>
          <a:ext cx="1211287" cy="81802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421902</xdr:colOff>
      <xdr:row>3</xdr:row>
      <xdr:rowOff>1</xdr:rowOff>
    </xdr:from>
    <xdr:to>
      <xdr:col>10</xdr:col>
      <xdr:colOff>109189</xdr:colOff>
      <xdr:row>7</xdr:row>
      <xdr:rowOff>56029</xdr:rowOff>
    </xdr:to>
    <xdr:sp macro="" textlink="">
      <xdr:nvSpPr>
        <xdr:cNvPr id="2" name="1 Rectángulo redondeado">
          <a:hlinkClick xmlns:r="http://schemas.openxmlformats.org/officeDocument/2006/relationships" r:id="rId1"/>
        </xdr:cNvPr>
        <xdr:cNvSpPr/>
      </xdr:nvSpPr>
      <xdr:spPr bwMode="auto">
        <a:xfrm>
          <a:off x="10585077" y="685801"/>
          <a:ext cx="1211287" cy="81802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519392</xdr:colOff>
      <xdr:row>3</xdr:row>
      <xdr:rowOff>2</xdr:rowOff>
    </xdr:from>
    <xdr:to>
      <xdr:col>10</xdr:col>
      <xdr:colOff>216133</xdr:colOff>
      <xdr:row>7</xdr:row>
      <xdr:rowOff>56030</xdr:rowOff>
    </xdr:to>
    <xdr:sp macro="" textlink="">
      <xdr:nvSpPr>
        <xdr:cNvPr id="2" name="1 Rectángulo redondeado">
          <a:hlinkClick xmlns:r="http://schemas.openxmlformats.org/officeDocument/2006/relationships" r:id="rId1"/>
        </xdr:cNvPr>
        <xdr:cNvSpPr/>
      </xdr:nvSpPr>
      <xdr:spPr bwMode="auto">
        <a:xfrm>
          <a:off x="10425392" y="685802"/>
          <a:ext cx="1220741" cy="81802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648821</xdr:colOff>
      <xdr:row>3</xdr:row>
      <xdr:rowOff>123265</xdr:rowOff>
    </xdr:from>
    <xdr:to>
      <xdr:col>10</xdr:col>
      <xdr:colOff>335756</xdr:colOff>
      <xdr:row>7</xdr:row>
      <xdr:rowOff>78441</xdr:rowOff>
    </xdr:to>
    <xdr:sp macro="" textlink="">
      <xdr:nvSpPr>
        <xdr:cNvPr id="2" name="1 Rectángulo redondeado">
          <a:hlinkClick xmlns:r="http://schemas.openxmlformats.org/officeDocument/2006/relationships" r:id="rId1"/>
        </xdr:cNvPr>
        <xdr:cNvSpPr/>
      </xdr:nvSpPr>
      <xdr:spPr bwMode="auto">
        <a:xfrm>
          <a:off x="11088221" y="761440"/>
          <a:ext cx="1210935" cy="717176"/>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519392</xdr:colOff>
      <xdr:row>3</xdr:row>
      <xdr:rowOff>2</xdr:rowOff>
    </xdr:from>
    <xdr:to>
      <xdr:col>10</xdr:col>
      <xdr:colOff>216133</xdr:colOff>
      <xdr:row>7</xdr:row>
      <xdr:rowOff>56030</xdr:rowOff>
    </xdr:to>
    <xdr:sp macro="" textlink="">
      <xdr:nvSpPr>
        <xdr:cNvPr id="2" name="1 Rectángulo redondeado">
          <a:hlinkClick xmlns:r="http://schemas.openxmlformats.org/officeDocument/2006/relationships" r:id="rId1"/>
        </xdr:cNvPr>
        <xdr:cNvSpPr/>
      </xdr:nvSpPr>
      <xdr:spPr bwMode="auto">
        <a:xfrm>
          <a:off x="10425392" y="685802"/>
          <a:ext cx="1220741" cy="81802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291353</xdr:colOff>
      <xdr:row>0</xdr:row>
      <xdr:rowOff>143995</xdr:rowOff>
    </xdr:from>
    <xdr:to>
      <xdr:col>9</xdr:col>
      <xdr:colOff>414618</xdr:colOff>
      <xdr:row>4</xdr:row>
      <xdr:rowOff>11216</xdr:rowOff>
    </xdr:to>
    <xdr:sp macro="" textlink="">
      <xdr:nvSpPr>
        <xdr:cNvPr id="2" name="1 Rectángulo redondeado">
          <a:hlinkClick xmlns:r="http://schemas.openxmlformats.org/officeDocument/2006/relationships" r:id="rId1"/>
        </xdr:cNvPr>
        <xdr:cNvSpPr/>
      </xdr:nvSpPr>
      <xdr:spPr bwMode="auto">
        <a:xfrm>
          <a:off x="9787778" y="143995"/>
          <a:ext cx="961465" cy="781621"/>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324970</xdr:colOff>
      <xdr:row>0</xdr:row>
      <xdr:rowOff>134470</xdr:rowOff>
    </xdr:from>
    <xdr:to>
      <xdr:col>10</xdr:col>
      <xdr:colOff>11205</xdr:colOff>
      <xdr:row>4</xdr:row>
      <xdr:rowOff>44822</xdr:rowOff>
    </xdr:to>
    <xdr:sp macro="" textlink="">
      <xdr:nvSpPr>
        <xdr:cNvPr id="2" name="1 Rectángulo redondeado">
          <a:hlinkClick xmlns:r="http://schemas.openxmlformats.org/officeDocument/2006/relationships" r:id="rId1"/>
        </xdr:cNvPr>
        <xdr:cNvSpPr/>
      </xdr:nvSpPr>
      <xdr:spPr bwMode="auto">
        <a:xfrm>
          <a:off x="10154770" y="134470"/>
          <a:ext cx="962585" cy="624727"/>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487456</xdr:colOff>
      <xdr:row>1</xdr:row>
      <xdr:rowOff>0</xdr:rowOff>
    </xdr:from>
    <xdr:to>
      <xdr:col>10</xdr:col>
      <xdr:colOff>347228</xdr:colOff>
      <xdr:row>6</xdr:row>
      <xdr:rowOff>67236</xdr:rowOff>
    </xdr:to>
    <xdr:sp macro="" textlink="">
      <xdr:nvSpPr>
        <xdr:cNvPr id="2" name="3 Rectángulo redondeado">
          <a:hlinkClick xmlns:r="http://schemas.openxmlformats.org/officeDocument/2006/relationships" r:id="rId1"/>
        </xdr:cNvPr>
        <xdr:cNvSpPr/>
      </xdr:nvSpPr>
      <xdr:spPr bwMode="auto">
        <a:xfrm>
          <a:off x="11193556" y="228600"/>
          <a:ext cx="1383772" cy="1010211"/>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358457</xdr:colOff>
      <xdr:row>0</xdr:row>
      <xdr:rowOff>199360</xdr:rowOff>
    </xdr:from>
    <xdr:to>
      <xdr:col>9</xdr:col>
      <xdr:colOff>465174</xdr:colOff>
      <xdr:row>3</xdr:row>
      <xdr:rowOff>144372</xdr:rowOff>
    </xdr:to>
    <xdr:sp macro="" textlink="">
      <xdr:nvSpPr>
        <xdr:cNvPr id="2" name="1 Rectángulo redondeado">
          <a:hlinkClick xmlns:r="http://schemas.openxmlformats.org/officeDocument/2006/relationships" r:id="rId1"/>
        </xdr:cNvPr>
        <xdr:cNvSpPr/>
      </xdr:nvSpPr>
      <xdr:spPr bwMode="auto">
        <a:xfrm>
          <a:off x="8721407" y="199360"/>
          <a:ext cx="944917" cy="716537"/>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582707</xdr:colOff>
      <xdr:row>2</xdr:row>
      <xdr:rowOff>190500</xdr:rowOff>
    </xdr:from>
    <xdr:to>
      <xdr:col>9</xdr:col>
      <xdr:colOff>705971</xdr:colOff>
      <xdr:row>5</xdr:row>
      <xdr:rowOff>22411</xdr:rowOff>
    </xdr:to>
    <xdr:sp macro="" textlink="">
      <xdr:nvSpPr>
        <xdr:cNvPr id="2" name="1 Rectángulo redondeado">
          <a:hlinkClick xmlns:r="http://schemas.openxmlformats.org/officeDocument/2006/relationships" r:id="rId1"/>
        </xdr:cNvPr>
        <xdr:cNvSpPr/>
      </xdr:nvSpPr>
      <xdr:spPr bwMode="auto">
        <a:xfrm>
          <a:off x="8707532" y="600075"/>
          <a:ext cx="961464" cy="508186"/>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0</xdr:colOff>
      <xdr:row>2</xdr:row>
      <xdr:rowOff>0</xdr:rowOff>
    </xdr:from>
    <xdr:to>
      <xdr:col>10</xdr:col>
      <xdr:colOff>201775</xdr:colOff>
      <xdr:row>4</xdr:row>
      <xdr:rowOff>142875</xdr:rowOff>
    </xdr:to>
    <xdr:sp macro="" textlink="">
      <xdr:nvSpPr>
        <xdr:cNvPr id="2" name="1 Rectángulo redondeado">
          <a:hlinkClick xmlns:r="http://schemas.openxmlformats.org/officeDocument/2006/relationships" r:id="rId1"/>
        </xdr:cNvPr>
        <xdr:cNvSpPr/>
      </xdr:nvSpPr>
      <xdr:spPr bwMode="auto">
        <a:xfrm>
          <a:off x="8524875" y="409575"/>
          <a:ext cx="963775" cy="542925"/>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576261</xdr:colOff>
      <xdr:row>4</xdr:row>
      <xdr:rowOff>109538</xdr:rowOff>
    </xdr:to>
    <xdr:sp macro="" textlink="">
      <xdr:nvSpPr>
        <xdr:cNvPr id="2" name="1 Rectángulo redondeado">
          <a:hlinkClick xmlns:r="http://schemas.openxmlformats.org/officeDocument/2006/relationships" r:id="rId1"/>
        </xdr:cNvPr>
        <xdr:cNvSpPr/>
      </xdr:nvSpPr>
      <xdr:spPr bwMode="auto">
        <a:xfrm>
          <a:off x="8172450" y="419100"/>
          <a:ext cx="1338261" cy="500063"/>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575567</xdr:colOff>
      <xdr:row>4</xdr:row>
      <xdr:rowOff>109538</xdr:rowOff>
    </xdr:to>
    <xdr:sp macro="" textlink="">
      <xdr:nvSpPr>
        <xdr:cNvPr id="2" name="1 Rectángulo redondeado">
          <a:hlinkClick xmlns:r="http://schemas.openxmlformats.org/officeDocument/2006/relationships" r:id="rId1"/>
        </xdr:cNvPr>
        <xdr:cNvSpPr/>
      </xdr:nvSpPr>
      <xdr:spPr bwMode="auto">
        <a:xfrm>
          <a:off x="9677400" y="428625"/>
          <a:ext cx="1337567" cy="50958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2</xdr:row>
      <xdr:rowOff>0</xdr:rowOff>
    </xdr:from>
    <xdr:to>
      <xdr:col>10</xdr:col>
      <xdr:colOff>575567</xdr:colOff>
      <xdr:row>4</xdr:row>
      <xdr:rowOff>109538</xdr:rowOff>
    </xdr:to>
    <xdr:sp macro="" textlink="">
      <xdr:nvSpPr>
        <xdr:cNvPr id="2" name="1 Rectángulo redondeado">
          <a:hlinkClick xmlns:r="http://schemas.openxmlformats.org/officeDocument/2006/relationships" r:id="rId1"/>
        </xdr:cNvPr>
        <xdr:cNvSpPr/>
      </xdr:nvSpPr>
      <xdr:spPr bwMode="auto">
        <a:xfrm>
          <a:off x="9086850" y="428625"/>
          <a:ext cx="1337567" cy="50958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493059</xdr:colOff>
      <xdr:row>2</xdr:row>
      <xdr:rowOff>67235</xdr:rowOff>
    </xdr:from>
    <xdr:to>
      <xdr:col>9</xdr:col>
      <xdr:colOff>616324</xdr:colOff>
      <xdr:row>5</xdr:row>
      <xdr:rowOff>22411</xdr:rowOff>
    </xdr:to>
    <xdr:sp macro="" textlink="">
      <xdr:nvSpPr>
        <xdr:cNvPr id="2" name="1 Rectángulo redondeado">
          <a:hlinkClick xmlns:r="http://schemas.openxmlformats.org/officeDocument/2006/relationships" r:id="rId1"/>
        </xdr:cNvPr>
        <xdr:cNvSpPr/>
      </xdr:nvSpPr>
      <xdr:spPr bwMode="auto">
        <a:xfrm>
          <a:off x="13208934" y="476810"/>
          <a:ext cx="961465" cy="488576"/>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519392</xdr:colOff>
      <xdr:row>3</xdr:row>
      <xdr:rowOff>2</xdr:rowOff>
    </xdr:from>
    <xdr:to>
      <xdr:col>10</xdr:col>
      <xdr:colOff>215666</xdr:colOff>
      <xdr:row>7</xdr:row>
      <xdr:rowOff>56030</xdr:rowOff>
    </xdr:to>
    <xdr:sp macro="" textlink="">
      <xdr:nvSpPr>
        <xdr:cNvPr id="2" name="1 Rectángulo redondeado">
          <a:hlinkClick xmlns:r="http://schemas.openxmlformats.org/officeDocument/2006/relationships" r:id="rId1"/>
        </xdr:cNvPr>
        <xdr:cNvSpPr/>
      </xdr:nvSpPr>
      <xdr:spPr bwMode="auto">
        <a:xfrm>
          <a:off x="11939867" y="685802"/>
          <a:ext cx="1220274" cy="77992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519392</xdr:colOff>
      <xdr:row>3</xdr:row>
      <xdr:rowOff>2</xdr:rowOff>
    </xdr:from>
    <xdr:to>
      <xdr:col>10</xdr:col>
      <xdr:colOff>216133</xdr:colOff>
      <xdr:row>7</xdr:row>
      <xdr:rowOff>56030</xdr:rowOff>
    </xdr:to>
    <xdr:sp macro="" textlink="">
      <xdr:nvSpPr>
        <xdr:cNvPr id="2" name="1 Rectángulo redondeado">
          <a:hlinkClick xmlns:r="http://schemas.openxmlformats.org/officeDocument/2006/relationships" r:id="rId1"/>
        </xdr:cNvPr>
        <xdr:cNvSpPr/>
      </xdr:nvSpPr>
      <xdr:spPr bwMode="auto">
        <a:xfrm>
          <a:off x="10368242" y="685802"/>
          <a:ext cx="1220741" cy="81802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593911</xdr:colOff>
      <xdr:row>2</xdr:row>
      <xdr:rowOff>22412</xdr:rowOff>
    </xdr:from>
    <xdr:to>
      <xdr:col>7</xdr:col>
      <xdr:colOff>336176</xdr:colOff>
      <xdr:row>3</xdr:row>
      <xdr:rowOff>369793</xdr:rowOff>
    </xdr:to>
    <xdr:sp macro="" textlink="">
      <xdr:nvSpPr>
        <xdr:cNvPr id="2" name="1 Rectángulo redondeado">
          <a:hlinkClick xmlns:r="http://schemas.openxmlformats.org/officeDocument/2006/relationships" r:id="rId1"/>
        </xdr:cNvPr>
        <xdr:cNvSpPr/>
      </xdr:nvSpPr>
      <xdr:spPr bwMode="auto">
        <a:xfrm>
          <a:off x="7832911" y="431987"/>
          <a:ext cx="970990" cy="528356"/>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590550</xdr:colOff>
      <xdr:row>1</xdr:row>
      <xdr:rowOff>123827</xdr:rowOff>
    </xdr:from>
    <xdr:to>
      <xdr:col>10</xdr:col>
      <xdr:colOff>44683</xdr:colOff>
      <xdr:row>5</xdr:row>
      <xdr:rowOff>122705</xdr:rowOff>
    </xdr:to>
    <xdr:sp macro="" textlink="">
      <xdr:nvSpPr>
        <xdr:cNvPr id="2" name="1 Rectángulo redondeado">
          <a:hlinkClick xmlns:r="http://schemas.openxmlformats.org/officeDocument/2006/relationships" r:id="rId1"/>
        </xdr:cNvPr>
        <xdr:cNvSpPr/>
      </xdr:nvSpPr>
      <xdr:spPr bwMode="auto">
        <a:xfrm>
          <a:off x="9782175" y="352427"/>
          <a:ext cx="978133" cy="83707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421902</xdr:colOff>
      <xdr:row>3</xdr:row>
      <xdr:rowOff>1</xdr:rowOff>
    </xdr:from>
    <xdr:to>
      <xdr:col>10</xdr:col>
      <xdr:colOff>108188</xdr:colOff>
      <xdr:row>7</xdr:row>
      <xdr:rowOff>56029</xdr:rowOff>
    </xdr:to>
    <xdr:sp macro="" textlink="">
      <xdr:nvSpPr>
        <xdr:cNvPr id="2" name="1 Rectángulo redondeado">
          <a:hlinkClick xmlns:r="http://schemas.openxmlformats.org/officeDocument/2006/relationships" r:id="rId1"/>
        </xdr:cNvPr>
        <xdr:cNvSpPr/>
      </xdr:nvSpPr>
      <xdr:spPr bwMode="auto">
        <a:xfrm>
          <a:off x="10861302" y="685801"/>
          <a:ext cx="1210286" cy="81802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485775</xdr:colOff>
      <xdr:row>0</xdr:row>
      <xdr:rowOff>209551</xdr:rowOff>
    </xdr:from>
    <xdr:to>
      <xdr:col>10</xdr:col>
      <xdr:colOff>57150</xdr:colOff>
      <xdr:row>4</xdr:row>
      <xdr:rowOff>170329</xdr:rowOff>
    </xdr:to>
    <xdr:sp macro="" textlink="">
      <xdr:nvSpPr>
        <xdr:cNvPr id="2" name="1 Rectángulo redondeado">
          <a:hlinkClick xmlns:r="http://schemas.openxmlformats.org/officeDocument/2006/relationships" r:id="rId1"/>
        </xdr:cNvPr>
        <xdr:cNvSpPr/>
      </xdr:nvSpPr>
      <xdr:spPr bwMode="auto">
        <a:xfrm>
          <a:off x="10239375" y="209551"/>
          <a:ext cx="1095375" cy="837078"/>
        </a:xfrm>
        <a:prstGeom prst="roundRect">
          <a:avLst/>
        </a:prstGeom>
        <a:solidFill>
          <a:schemeClr val="accent1"/>
        </a:solidFill>
        <a:ln>
          <a:noFill/>
          <a:headEnd/>
          <a:tailEnd/>
        </a:ln>
        <a:effectLst>
          <a:reflection blurRad="6350" stA="52000" endA="300" endPos="35000" dir="5400000" sy="-100000" algn="bl" rotWithShape="0"/>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defRPr sz="1000"/>
          </a:pPr>
          <a:r>
            <a:rPr lang="en-GB" sz="2000" b="0" i="0" u="none" strike="noStrike" baseline="0">
              <a:solidFill>
                <a:srgbClr val="FFFFFF"/>
              </a:solidFill>
              <a:latin typeface="Calibri"/>
              <a:cs typeface="Calibri"/>
            </a:rPr>
            <a:t>Home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x0152081\My%20Documents\Texas%20Bank\Texas%20Bank\Texas_Bank___Financial_Summary___August2006.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u215293\AppData\Local\Temp\TEMP\reporting%20web%202T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u215293\AppData\Local\Temp\Personal\Excel\Loans\Equity%20Products\Equity%20Loans\Home%20Equity%20Proformas%20(7.25%25)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1\x0161618\LOCALS~1\Temp\Deposit-Production-0131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x0140906\Local%20Settings\Temp\VarYearPrior2Base.XLW"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Forecast\FC_July99\TOTALF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u215293\AppData\Local\Temp\HOME\bkop\Retail%20Financial%20Planning\Forecast%20-%20Budget\Retail%20Financial%20Package%202003%20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BXM01G03\ZEUS\BBVA\Argentina\Dic2003\DETALLE%20Banco%20Frances_1203_EUR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1\x0161618\LOCALS~1\Temp\MXLibDir\Loan%20Production-0330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M1\MARS\2008%20Reports\Organizational%20Profitability\Organizational%20Profitability%20Analysi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M1%20Admin\DVLPMNT\CFS\CFS-Level\Monthly%20Product%20Line%20Financial%20Summaries-Revised%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nmetaf02\tm1data\212currfcst0405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nmetaf02\TM1Data\00Budget\Board%20Reports\July%202000%20OPM%20for%20Houston%20Boar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M1\MARS\2003%20Monthly%20Analysis\Chargeoffs\2003%20Chargeoff%20Repor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215293\AppData\Local\Temp\CONTCOAP\FINMES\DEXT139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ERVICES\MTDBI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BXM01G03\ZEUS\BBVA\Tipos\Avance%20tipos%20camb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cvg45\CB\VIEWS\VARMONTH.XLW"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TEMP\JulyPkg.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TM1\MARS\2004%20Reports\Chargeoffs\CY%20Chargeoff%20Re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u215293\AppData\Local\Temp\TEMP\efan0102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ERVICES\MTDBIL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215293\AppData\Local\Temp\centre%20de%20dades\web\dades-accion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Documents%20and%20Settings\x0140906\Local%20Settings\Temp\VarYear.XLW"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u215293\AppData\Local\Temp\Corporate%20Finance\2006%20Budget\Corporate%20Finance\Monthly%20Reports\Rate%20Volume\Performance%20Comparison%20-Augus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ERVICES\CLOSE\DEC97\MERGE\MEPK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TEMP\USERS\U078671\13\RCE%20sim%203.0%20Hip%20Nueva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u215293\AppData\Local\Temp\TEMP\USERS\U078671\13\RCE%20sim%203.0%20Hip%20Nueva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TM1\MARS\2004%20Reports\Consolidated\Monthly%20Comparison%20Repor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HOME\bkop\Monachelli\Dann_Lee\Woodforest\wf_9_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apps\BW\CHRIS\VARMONTHp2.XLW"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M1%20Admin\DVLPMNT\Windham\Conference%20Call\QuarterlyIS&amp;BSSum.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SERVICES\CLOSE\ROLLTR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215293\AppData\Local\Temp\Personal\Excel\Loans\Equity%20Products\Equity%20Loans\Home%20Equity%20Pricing%20-%20AL&amp;TX(1-19-9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WattsR\Reports\Splash-Compass%20Bank.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EVERYONE\99PLAN\PLAN_PKG\PL_TREN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c20\d2\MORRISON\MONTHEND\YTD\NOV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BBVA\New%20Balance%20Sheet%20Activity%20Report_200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CENTRPT\NEW\2DOT9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SERVICES\CLOSE\NOV97\DECFCS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X:\area%20tecnica\rrpp\carga%20rrpp0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X:\area%20tecnica\rrpp\carga%20rrpp0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Documents%20and%20Settings\x0140906\Local%20Settings\Temp\VARQTR2Prior2Base.XLW"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sers\u215293\AppData\Local\Temp\CONTCOAP\FINMES\Rmer\RIESM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215293\AppData\Local\Temp\WINDOWS\TEMP\Bankcard%20Review%2012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HOME\bkop\LOB%20Monthly%20Reviews\LOB%20Monthly%20Review%20Template.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C22\D1\APPS\TM1\MARS\REPORTS\MgmtRptDeta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TM1\TriStar%20Reports\LNB%20-%20Sales%20Production\Loan%20Production-03300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WattsR\Reports\Main%20Monthly\Daily%20Report-March%20199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SERVICES\CLOSE\98CLOSE\DEC98\MONTHEN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u215293\AppData\Local\Temp\DOCUME~1\w906372\LOCALS~1\Temp\Directorio%20temporal%201%20para%20CNMV_IPP_0607.zip\CNMV_IPP_06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x0141002\LOCALS~1\Temp\XPgrpwise\P&amp;L-Core%20Onl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ENTRPT\NEW\GUINEA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x0141002\Local%20Settings\Temp\Consolidated%20Tracks%20-%20YT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x0141002\LOCALS~1\Temp\XPgrpwise\Retail%20Grap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thYields (2)"/>
      <sheetName val="IS-Budget-Valued (2)"/>
      <sheetName val="INPUT"/>
      <sheetName val="Cover"/>
      <sheetName val="TOC"/>
      <sheetName val="assumptions"/>
      <sheetName val="FS"/>
      <sheetName val="Chart1"/>
      <sheetName val="BS"/>
      <sheetName val="budget"/>
      <sheetName val="MthYields"/>
      <sheetName val="Ann"/>
      <sheetName val="forecastw.o."/>
      <sheetName val="IS-Budget-Valued"/>
      <sheetName val="IS-Actual"/>
      <sheetName val="BS-Budget-Valued"/>
      <sheetName val="actual"/>
      <sheetName val="MthAct"/>
      <sheetName val="IS(2)"/>
      <sheetName val="BS-Actual"/>
      <sheetName val="BS (2)"/>
      <sheetName val="shares"/>
      <sheetName val="Yield.Rates"/>
      <sheetName val="NIM"/>
      <sheetName val="NIE"/>
      <sheetName val="NII"/>
      <sheetName val="LOB"/>
      <sheetName val="spadj"/>
      <sheetName val="Statics"/>
      <sheetName val="91 actual"/>
      <sheetName val="Module2"/>
      <sheetName val="Texas_Bank___Financial_Summary_"/>
      <sheetName val="Hoja1"/>
      <sheetName val="bbv+ bmer"/>
      <sheetName val="BRAD_EQUITY_LOANS"/>
      <sheetName val="Branches"/>
      <sheetName val="TM1Input"/>
      <sheetName val="Sheet1"/>
      <sheetName val="Process By Mgr"/>
      <sheetName val="Splash"/>
      <sheetName val="LoanCodes"/>
      <sheetName val="trabjo Riesgo"/>
      <sheetName val="FTA"/>
      <sheetName val="FTB"/>
      <sheetName val="FTC"/>
      <sheetName val="FTD"/>
      <sheetName val="FTE"/>
      <sheetName val="FTF"/>
      <sheetName val="FTG"/>
      <sheetName val="FTH"/>
      <sheetName val="FTJ"/>
      <sheetName val="FTL"/>
      <sheetName val="Bancomer"/>
      <sheetName val="Finanzia"/>
    </sheetNames>
    <sheetDataSet>
      <sheetData sheetId="0" refreshError="1"/>
      <sheetData sheetId="1" refreshError="1"/>
      <sheetData sheetId="2" refreshError="1"/>
      <sheetData sheetId="3" refreshError="1">
        <row r="5">
          <cell r="D5" t="str">
            <v>0txbk</v>
          </cell>
        </row>
        <row r="53">
          <cell r="C53">
            <v>2.2125500000000002</v>
          </cell>
          <cell r="D53" t="str">
            <v>Notes concerning the NY Forecast View:</v>
          </cell>
          <cell r="E53">
            <v>-65.42671064999999</v>
          </cell>
          <cell r="G53">
            <v>6.1819899999999999</v>
          </cell>
        </row>
        <row r="54">
          <cell r="C54" t="str">
            <v>This view was initially set up for Brad to compare the following variables:</v>
          </cell>
          <cell r="D54">
            <v>0</v>
          </cell>
          <cell r="E54">
            <v>0</v>
          </cell>
          <cell r="G54">
            <v>0</v>
          </cell>
        </row>
        <row r="55">
          <cell r="C55" t="str">
            <v>05 Actual</v>
          </cell>
          <cell r="D55" t="str">
            <v>06 PrFcst</v>
          </cell>
          <cell r="E55" t="str">
            <v>06 Currfcst</v>
          </cell>
          <cell r="F55" t="str">
            <v>% Chg 06 Pr vs 05 A</v>
          </cell>
          <cell r="G55" t="str">
            <v>% Chg 06C vs 05P</v>
          </cell>
        </row>
        <row r="56">
          <cell r="C56" t="str">
            <v>04 Actual</v>
          </cell>
          <cell r="D56" t="str">
            <v>05 Actual</v>
          </cell>
          <cell r="E56" t="str">
            <v>06 Prfcst</v>
          </cell>
          <cell r="F56" t="str">
            <v>% Chg 05 A vs 04 A</v>
          </cell>
          <cell r="G56" t="str">
            <v>% Chg 06P vs 05A</v>
          </cell>
        </row>
        <row r="57">
          <cell r="C57">
            <v>0</v>
          </cell>
          <cell r="D57">
            <v>135.28006040099999</v>
          </cell>
          <cell r="E57">
            <v>-135.28006040099999</v>
          </cell>
          <cell r="G57">
            <v>42.424570000000003</v>
          </cell>
        </row>
        <row r="58">
          <cell r="C58" t="str">
            <v>In order for this view to work properly, you must choose 05 Currfcst and 06 Currfcst</v>
          </cell>
          <cell r="D58">
            <v>10.816077543833329</v>
          </cell>
          <cell r="E58">
            <v>7.5323424561666652</v>
          </cell>
          <cell r="G58">
            <v>148.63032000000004</v>
          </cell>
        </row>
        <row r="59">
          <cell r="C59" t="str">
            <v>as the 5th and 6th comparison elements above.</v>
          </cell>
          <cell r="D59">
            <v>0</v>
          </cell>
          <cell r="E59">
            <v>0</v>
          </cell>
          <cell r="G59">
            <v>0</v>
          </cell>
        </row>
        <row r="60">
          <cell r="C60" t="str">
            <v>Please click here to return to top of Input sheet=========&gt;</v>
          </cell>
          <cell r="D60">
            <v>0</v>
          </cell>
          <cell r="E60">
            <v>0</v>
          </cell>
          <cell r="G60">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0">
          <cell r="C10">
            <v>1277.61817</v>
          </cell>
          <cell r="D10">
            <v>2176.736677354173</v>
          </cell>
          <cell r="E10">
            <v>-899.11850735417306</v>
          </cell>
          <cell r="G10">
            <v>8177.3913600000024</v>
          </cell>
          <cell r="H10">
            <v>10830.601473814142</v>
          </cell>
          <cell r="I10">
            <v>-2653.2101138141397</v>
          </cell>
          <cell r="K10">
            <v>-899.11850735417306</v>
          </cell>
          <cell r="L10">
            <v>0.70374586747946233</v>
          </cell>
          <cell r="M10">
            <v>-6000.6546826458289</v>
          </cell>
          <cell r="N10">
            <v>2.7567205280611318</v>
          </cell>
        </row>
        <row r="11">
          <cell r="C11">
            <v>0</v>
          </cell>
          <cell r="D11">
            <v>0</v>
          </cell>
          <cell r="E11">
            <v>0</v>
          </cell>
          <cell r="G11">
            <v>0</v>
          </cell>
          <cell r="H11">
            <v>0</v>
          </cell>
          <cell r="I11">
            <v>0</v>
          </cell>
          <cell r="K11">
            <v>0</v>
          </cell>
          <cell r="L11" t="str">
            <v>n/a</v>
          </cell>
          <cell r="M11">
            <v>0</v>
          </cell>
          <cell r="N11" t="str">
            <v>n/a</v>
          </cell>
        </row>
        <row r="12">
          <cell r="C12">
            <v>0</v>
          </cell>
          <cell r="D12">
            <v>0</v>
          </cell>
          <cell r="E12">
            <v>0</v>
          </cell>
          <cell r="G12">
            <v>0</v>
          </cell>
          <cell r="H12">
            <v>0</v>
          </cell>
          <cell r="I12">
            <v>0</v>
          </cell>
          <cell r="K12">
            <v>0</v>
          </cell>
          <cell r="L12" t="str">
            <v>n/a</v>
          </cell>
          <cell r="M12">
            <v>0</v>
          </cell>
          <cell r="N12" t="str">
            <v>n/a</v>
          </cell>
        </row>
        <row r="13">
          <cell r="C13">
            <v>2.6490500000000003</v>
          </cell>
          <cell r="D13">
            <v>0</v>
          </cell>
          <cell r="E13">
            <v>2.6490500000000003</v>
          </cell>
          <cell r="G13">
            <v>9.3145100000000003</v>
          </cell>
          <cell r="H13">
            <v>0</v>
          </cell>
          <cell r="I13">
            <v>9.3145100000000003</v>
          </cell>
          <cell r="K13">
            <v>2.6490500000000003</v>
          </cell>
          <cell r="L13">
            <v>-1</v>
          </cell>
          <cell r="M13">
            <v>-9.3145100000000003</v>
          </cell>
          <cell r="N13" t="str">
            <v>n/a</v>
          </cell>
        </row>
        <row r="14">
          <cell r="C14">
            <v>5.9624300000000003</v>
          </cell>
          <cell r="D14">
            <v>0</v>
          </cell>
          <cell r="E14">
            <v>5.9624300000000003</v>
          </cell>
          <cell r="G14">
            <v>36.856819999999999</v>
          </cell>
          <cell r="H14">
            <v>11.216700000000007</v>
          </cell>
          <cell r="I14">
            <v>25.640119999999992</v>
          </cell>
          <cell r="K14">
            <v>5.9624300000000003</v>
          </cell>
          <cell r="L14">
            <v>-1</v>
          </cell>
          <cell r="M14">
            <v>-36.856819999999999</v>
          </cell>
          <cell r="N14" t="str">
            <v>n/a</v>
          </cell>
        </row>
        <row r="15">
          <cell r="C15">
            <v>1286.22965</v>
          </cell>
          <cell r="D15">
            <v>2176.736677354173</v>
          </cell>
          <cell r="E15">
            <v>-890.50702735417303</v>
          </cell>
          <cell r="G15">
            <v>8223.5626900000025</v>
          </cell>
          <cell r="H15">
            <v>10841.818173814143</v>
          </cell>
          <cell r="I15">
            <v>-2618.2554838141405</v>
          </cell>
          <cell r="K15">
            <v>-890.50702735417303</v>
          </cell>
          <cell r="L15">
            <v>0.69233906041131377</v>
          </cell>
          <cell r="M15">
            <v>-6046.8260126458299</v>
          </cell>
          <cell r="N15">
            <v>2.7779317891568569</v>
          </cell>
        </row>
        <row r="17">
          <cell r="C17">
            <v>2165.1240100000005</v>
          </cell>
          <cell r="D17">
            <v>2216.6155023136839</v>
          </cell>
          <cell r="E17">
            <v>-51.491492313683466</v>
          </cell>
          <cell r="G17">
            <v>12554.546840000001</v>
          </cell>
          <cell r="H17">
            <v>12281.503533163408</v>
          </cell>
          <cell r="I17">
            <v>273.04330683659282</v>
          </cell>
          <cell r="K17">
            <v>-51.491492313683466</v>
          </cell>
          <cell r="L17">
            <v>2.3782236987748062E-2</v>
          </cell>
          <cell r="M17">
            <v>-10337.931337686317</v>
          </cell>
          <cell r="N17">
            <v>4.6638360721088858</v>
          </cell>
        </row>
        <row r="18">
          <cell r="C18">
            <v>661.83055000000002</v>
          </cell>
          <cell r="D18">
            <v>612.94856116833489</v>
          </cell>
          <cell r="E18">
            <v>48.881988831665126</v>
          </cell>
          <cell r="G18">
            <v>3155.6657500000006</v>
          </cell>
          <cell r="H18">
            <v>2962.3833208681763</v>
          </cell>
          <cell r="I18">
            <v>193.2824291318243</v>
          </cell>
          <cell r="K18">
            <v>48.881988831665126</v>
          </cell>
          <cell r="L18">
            <v>-7.3858767673485537E-2</v>
          </cell>
          <cell r="M18">
            <v>-2542.7171888316657</v>
          </cell>
          <cell r="N18">
            <v>4.1483369892981212</v>
          </cell>
        </row>
        <row r="20">
          <cell r="C20">
            <v>70.802520000000001</v>
          </cell>
          <cell r="D20">
            <v>27.959191365391799</v>
          </cell>
          <cell r="E20">
            <v>42.843328634608199</v>
          </cell>
          <cell r="G20">
            <v>347.29336000000001</v>
          </cell>
          <cell r="H20">
            <v>130.97848087924271</v>
          </cell>
          <cell r="I20">
            <v>216.3148791207573</v>
          </cell>
          <cell r="K20">
            <v>42.843328634608199</v>
          </cell>
          <cell r="L20">
            <v>-0.60511022255434133</v>
          </cell>
          <cell r="M20">
            <v>-319.3341686346082</v>
          </cell>
          <cell r="N20" t="str">
            <v>n/a</v>
          </cell>
        </row>
        <row r="21">
          <cell r="C21">
            <v>410.72760999999997</v>
          </cell>
          <cell r="D21">
            <v>574.98648739671148</v>
          </cell>
          <cell r="E21">
            <v>-164.25887739671151</v>
          </cell>
          <cell r="G21">
            <v>2392.0836600000002</v>
          </cell>
          <cell r="H21">
            <v>2692.5791849669631</v>
          </cell>
          <cell r="I21">
            <v>-300.49552496696288</v>
          </cell>
          <cell r="K21">
            <v>-164.25887739671151</v>
          </cell>
          <cell r="L21">
            <v>0.39992168385444438</v>
          </cell>
          <cell r="M21">
            <v>-1817.0971726032888</v>
          </cell>
          <cell r="N21">
            <v>3.1602432621161478</v>
          </cell>
        </row>
        <row r="22">
          <cell r="C22">
            <v>3196.0093699999998</v>
          </cell>
          <cell r="D22">
            <v>2781.217128042882</v>
          </cell>
          <cell r="E22">
            <v>414.79224195711777</v>
          </cell>
          <cell r="G22">
            <v>16554.072899999999</v>
          </cell>
          <cell r="H22">
            <v>15001.691765701536</v>
          </cell>
          <cell r="I22">
            <v>1552.3811342984627</v>
          </cell>
          <cell r="K22">
            <v>414.79224195711777</v>
          </cell>
          <cell r="L22">
            <v>-0.12978442611922558</v>
          </cell>
          <cell r="M22">
            <v>-13772.855771957118</v>
          </cell>
          <cell r="N22">
            <v>4.9520965598428317</v>
          </cell>
        </row>
        <row r="23">
          <cell r="C23">
            <v>178.20868000000002</v>
          </cell>
          <cell r="D23">
            <v>153.01153393671265</v>
          </cell>
          <cell r="E23">
            <v>25.197146063287363</v>
          </cell>
          <cell r="G23">
            <v>904.47208999999998</v>
          </cell>
          <cell r="H23">
            <v>769.93657101846316</v>
          </cell>
          <cell r="I23">
            <v>134.53551898153682</v>
          </cell>
          <cell r="K23">
            <v>25.197146063287363</v>
          </cell>
          <cell r="L23">
            <v>-0.1413912389861558</v>
          </cell>
          <cell r="M23">
            <v>-751.4605560632873</v>
          </cell>
          <cell r="N23">
            <v>4.9111366753182155</v>
          </cell>
        </row>
        <row r="24">
          <cell r="C24">
            <v>32.311599999999999</v>
          </cell>
          <cell r="D24">
            <v>24.04121729730884</v>
          </cell>
          <cell r="E24">
            <v>8.2703827026911583</v>
          </cell>
          <cell r="G24">
            <v>145.99118999999996</v>
          </cell>
          <cell r="H24">
            <v>126.7902226666247</v>
          </cell>
          <cell r="I24">
            <v>19.20096733337526</v>
          </cell>
          <cell r="K24">
            <v>8.2703827026911583</v>
          </cell>
          <cell r="L24">
            <v>-0.25595707741774343</v>
          </cell>
          <cell r="M24">
            <v>-121.94997270269113</v>
          </cell>
          <cell r="N24">
            <v>5.0725373509411327</v>
          </cell>
        </row>
        <row r="25">
          <cell r="C25">
            <v>3888.0597799999996</v>
          </cell>
          <cell r="D25">
            <v>3561.2155580390067</v>
          </cell>
          <cell r="E25">
            <v>326.84422196099285</v>
          </cell>
          <cell r="G25">
            <v>20343.913199999999</v>
          </cell>
          <cell r="H25">
            <v>18721.976225232826</v>
          </cell>
          <cell r="I25">
            <v>1621.9369747671735</v>
          </cell>
          <cell r="K25">
            <v>326.84422196099285</v>
          </cell>
          <cell r="L25">
            <v>-8.406357938277198E-2</v>
          </cell>
          <cell r="M25">
            <v>-16782.697641960993</v>
          </cell>
          <cell r="N25">
            <v>4.7126317877827173</v>
          </cell>
        </row>
        <row r="27">
          <cell r="C27">
            <v>0</v>
          </cell>
          <cell r="D27">
            <v>12.127000000000001</v>
          </cell>
          <cell r="E27">
            <v>-12.127000000000001</v>
          </cell>
          <cell r="G27">
            <v>39.230510000000002</v>
          </cell>
          <cell r="H27">
            <v>65.888260000000002</v>
          </cell>
          <cell r="I27">
            <v>-26.65775</v>
          </cell>
          <cell r="K27">
            <v>-12.127000000000001</v>
          </cell>
          <cell r="L27" t="str">
            <v>n/a</v>
          </cell>
          <cell r="M27">
            <v>-27.10351</v>
          </cell>
          <cell r="N27">
            <v>2.2349723756906079</v>
          </cell>
        </row>
        <row r="28">
          <cell r="C28">
            <v>0</v>
          </cell>
          <cell r="D28">
            <v>7.7519999999999998</v>
          </cell>
          <cell r="E28">
            <v>-7.7519999999999998</v>
          </cell>
          <cell r="G28">
            <v>0</v>
          </cell>
          <cell r="H28">
            <v>30.298999999999999</v>
          </cell>
          <cell r="I28">
            <v>-30.298999999999999</v>
          </cell>
          <cell r="K28">
            <v>-7.7519999999999998</v>
          </cell>
          <cell r="L28" t="str">
            <v>n/a</v>
          </cell>
          <cell r="M28">
            <v>7.7519999999999998</v>
          </cell>
          <cell r="N28">
            <v>-1</v>
          </cell>
        </row>
        <row r="29">
          <cell r="C29">
            <v>0</v>
          </cell>
          <cell r="D29">
            <v>19.879000000000001</v>
          </cell>
          <cell r="E29">
            <v>-19.879000000000001</v>
          </cell>
          <cell r="G29">
            <v>39.230510000000002</v>
          </cell>
          <cell r="H29">
            <v>96.187260000000009</v>
          </cell>
          <cell r="I29">
            <v>-56.956750000000007</v>
          </cell>
          <cell r="K29">
            <v>-19.879000000000001</v>
          </cell>
          <cell r="L29" t="str">
            <v>n/a</v>
          </cell>
          <cell r="M29">
            <v>-19.351510000000001</v>
          </cell>
          <cell r="N29">
            <v>0.97346496302630925</v>
          </cell>
        </row>
        <row r="31">
          <cell r="C31">
            <v>438.35443000000004</v>
          </cell>
          <cell r="D31">
            <v>546.64216626763323</v>
          </cell>
          <cell r="E31">
            <v>-108.28773626763319</v>
          </cell>
          <cell r="G31">
            <v>2335.5770799999996</v>
          </cell>
          <cell r="H31">
            <v>2639.7342806139386</v>
          </cell>
          <cell r="I31">
            <v>-304.15720061393904</v>
          </cell>
          <cell r="K31">
            <v>-108.28773626763319</v>
          </cell>
          <cell r="L31">
            <v>0.24703237575957249</v>
          </cell>
          <cell r="M31">
            <v>-1788.9349137323663</v>
          </cell>
          <cell r="N31">
            <v>3.2725885855949741</v>
          </cell>
        </row>
        <row r="32">
          <cell r="C32">
            <v>0.10991999999999999</v>
          </cell>
          <cell r="D32">
            <v>0</v>
          </cell>
          <cell r="E32">
            <v>0.10991999999999999</v>
          </cell>
          <cell r="G32">
            <v>13.436249999999994</v>
          </cell>
          <cell r="H32">
            <v>13.179799999999998</v>
          </cell>
          <cell r="I32">
            <v>0.25644999999999563</v>
          </cell>
          <cell r="K32">
            <v>0.10991999999999999</v>
          </cell>
          <cell r="L32">
            <v>-1</v>
          </cell>
          <cell r="M32">
            <v>-13.436249999999994</v>
          </cell>
          <cell r="N32" t="str">
            <v>n/a</v>
          </cell>
        </row>
        <row r="33">
          <cell r="C33">
            <v>28.584669999999999</v>
          </cell>
          <cell r="D33">
            <v>32.003904410656062</v>
          </cell>
          <cell r="E33">
            <v>-3.4192344106560633</v>
          </cell>
          <cell r="G33">
            <v>147.51012</v>
          </cell>
          <cell r="H33">
            <v>148.22145327704544</v>
          </cell>
          <cell r="I33">
            <v>-0.71133327704544058</v>
          </cell>
          <cell r="K33">
            <v>-3.4192344106560633</v>
          </cell>
          <cell r="L33">
            <v>0.11961776751860564</v>
          </cell>
          <cell r="M33">
            <v>-115.50621558934394</v>
          </cell>
          <cell r="N33">
            <v>3.6091288771280308</v>
          </cell>
        </row>
        <row r="34">
          <cell r="C34">
            <v>28.694589999999998</v>
          </cell>
          <cell r="D34">
            <v>32.003904410656062</v>
          </cell>
          <cell r="E34">
            <v>-3.3093144106560644</v>
          </cell>
          <cell r="G34">
            <v>160.94637</v>
          </cell>
          <cell r="H34">
            <v>161.40125327704544</v>
          </cell>
          <cell r="I34">
            <v>-0.45488327704543963</v>
          </cell>
          <cell r="K34">
            <v>-3.3093144106560644</v>
          </cell>
          <cell r="L34">
            <v>0.1153288620139219</v>
          </cell>
          <cell r="M34">
            <v>-128.94246558934395</v>
          </cell>
          <cell r="N34">
            <v>4.0289604647866364</v>
          </cell>
        </row>
        <row r="36">
          <cell r="C36">
            <v>0</v>
          </cell>
          <cell r="D36">
            <v>0</v>
          </cell>
          <cell r="E36">
            <v>0</v>
          </cell>
          <cell r="G36">
            <v>4.3683500000000004</v>
          </cell>
          <cell r="H36">
            <v>0</v>
          </cell>
          <cell r="I36">
            <v>4.3683500000000004</v>
          </cell>
          <cell r="K36">
            <v>0</v>
          </cell>
          <cell r="L36" t="str">
            <v>n/a</v>
          </cell>
          <cell r="M36">
            <v>-4.3683500000000004</v>
          </cell>
          <cell r="N36" t="str">
            <v>n/a</v>
          </cell>
        </row>
        <row r="37">
          <cell r="C37">
            <v>0</v>
          </cell>
          <cell r="D37">
            <v>0</v>
          </cell>
          <cell r="E37">
            <v>0</v>
          </cell>
          <cell r="G37">
            <v>0</v>
          </cell>
          <cell r="H37">
            <v>0</v>
          </cell>
          <cell r="I37">
            <v>0</v>
          </cell>
          <cell r="K37">
            <v>0</v>
          </cell>
          <cell r="L37" t="str">
            <v>n/a</v>
          </cell>
          <cell r="M37">
            <v>0</v>
          </cell>
          <cell r="N37" t="str">
            <v>n/a</v>
          </cell>
        </row>
        <row r="38">
          <cell r="C38">
            <v>8468.2930100000012</v>
          </cell>
          <cell r="D38">
            <v>9166.041369553488</v>
          </cell>
          <cell r="E38">
            <v>-697.74835955348681</v>
          </cell>
          <cell r="G38">
            <v>46817.810789999996</v>
          </cell>
          <cell r="H38">
            <v>47705.00404696953</v>
          </cell>
          <cell r="I38">
            <v>-887.19325696953456</v>
          </cell>
          <cell r="K38">
            <v>-697.74835955348681</v>
          </cell>
          <cell r="L38">
            <v>8.2395396419270517E-2</v>
          </cell>
          <cell r="M38">
            <v>-37651.769420446508</v>
          </cell>
          <cell r="N38">
            <v>4.1077459616877841</v>
          </cell>
        </row>
        <row r="40">
          <cell r="C40">
            <v>37.143179999999994</v>
          </cell>
          <cell r="D40">
            <v>76.114000000000004</v>
          </cell>
          <cell r="E40">
            <v>-38.97082000000001</v>
          </cell>
          <cell r="G40">
            <v>581.70236</v>
          </cell>
          <cell r="H40">
            <v>737.05529999999987</v>
          </cell>
          <cell r="I40">
            <v>-155.35293999999988</v>
          </cell>
          <cell r="K40">
            <v>-38.97082000000001</v>
          </cell>
          <cell r="L40">
            <v>1.0492052646003929</v>
          </cell>
          <cell r="M40">
            <v>-505.58835999999997</v>
          </cell>
          <cell r="N40">
            <v>6.642514649079013</v>
          </cell>
        </row>
        <row r="41">
          <cell r="C41">
            <v>-100.91723000000003</v>
          </cell>
          <cell r="D41">
            <v>0</v>
          </cell>
          <cell r="E41">
            <v>-100.91723000000003</v>
          </cell>
          <cell r="G41">
            <v>-252.71475999999996</v>
          </cell>
          <cell r="H41">
            <v>-2.8132599999999996</v>
          </cell>
          <cell r="I41">
            <v>-249.90149999999994</v>
          </cell>
          <cell r="K41">
            <v>-100.91723000000003</v>
          </cell>
          <cell r="L41">
            <v>-1</v>
          </cell>
          <cell r="M41">
            <v>252.71475999999996</v>
          </cell>
          <cell r="N41" t="str">
            <v>n/a</v>
          </cell>
        </row>
        <row r="42">
          <cell r="C42">
            <v>-63.774049999999995</v>
          </cell>
          <cell r="D42">
            <v>76.114000000000004</v>
          </cell>
          <cell r="E42">
            <v>-139.88804999999999</v>
          </cell>
          <cell r="G42">
            <v>328.98759999999999</v>
          </cell>
          <cell r="H42">
            <v>734.24203999999986</v>
          </cell>
          <cell r="I42">
            <v>-405.25443999999987</v>
          </cell>
          <cell r="K42">
            <v>-139.88804999999999</v>
          </cell>
          <cell r="L42">
            <v>-2.193494846258</v>
          </cell>
          <cell r="M42">
            <v>-252.87359999999998</v>
          </cell>
          <cell r="N42">
            <v>3.3223007593872342</v>
          </cell>
        </row>
        <row r="44">
          <cell r="C44">
            <v>8404.5189600000012</v>
          </cell>
          <cell r="D44">
            <v>9242.1553695534876</v>
          </cell>
          <cell r="E44">
            <v>-837.63640955348637</v>
          </cell>
          <cell r="G44">
            <v>47146.798389999996</v>
          </cell>
          <cell r="H44">
            <v>48439.246086969557</v>
          </cell>
          <cell r="I44">
            <v>-1292.4476969695606</v>
          </cell>
          <cell r="K44">
            <v>-837.63640955348637</v>
          </cell>
          <cell r="L44">
            <v>9.9665003260756002E-2</v>
          </cell>
          <cell r="M44">
            <v>-37904.643020446507</v>
          </cell>
          <cell r="N44">
            <v>4.1012774082240711</v>
          </cell>
        </row>
        <row r="46">
          <cell r="C46">
            <v>0</v>
          </cell>
          <cell r="D46">
            <v>0</v>
          </cell>
          <cell r="E46">
            <v>0</v>
          </cell>
          <cell r="G46">
            <v>0</v>
          </cell>
          <cell r="H46">
            <v>0</v>
          </cell>
          <cell r="I46">
            <v>0</v>
          </cell>
          <cell r="K46">
            <v>0</v>
          </cell>
          <cell r="L46" t="str">
            <v>n/a</v>
          </cell>
          <cell r="M46">
            <v>0</v>
          </cell>
          <cell r="N46" t="str">
            <v>n/a</v>
          </cell>
        </row>
        <row r="48">
          <cell r="C48">
            <v>8404.5189600000012</v>
          </cell>
          <cell r="D48">
            <v>9242.1553695534876</v>
          </cell>
          <cell r="E48">
            <v>-837.63640955348637</v>
          </cell>
          <cell r="G48">
            <v>47146.798389999996</v>
          </cell>
          <cell r="H48">
            <v>48439.246086969557</v>
          </cell>
          <cell r="I48">
            <v>-1292.4476969695606</v>
          </cell>
          <cell r="K48">
            <v>-837.63640955348637</v>
          </cell>
          <cell r="L48">
            <v>9.9665003260756002E-2</v>
          </cell>
          <cell r="M48">
            <v>-37904.643020446507</v>
          </cell>
          <cell r="N48">
            <v>4.1012774082240711</v>
          </cell>
        </row>
        <row r="50">
          <cell r="C50">
            <v>0</v>
          </cell>
          <cell r="D50">
            <v>0</v>
          </cell>
          <cell r="E50">
            <v>0</v>
          </cell>
          <cell r="G50">
            <v>0</v>
          </cell>
          <cell r="H50">
            <v>0</v>
          </cell>
          <cell r="I50">
            <v>0</v>
          </cell>
          <cell r="K50">
            <v>0</v>
          </cell>
          <cell r="L50" t="str">
            <v>n/a</v>
          </cell>
          <cell r="M50">
            <v>0</v>
          </cell>
          <cell r="N50" t="str">
            <v>n/a</v>
          </cell>
        </row>
        <row r="51">
          <cell r="C51">
            <v>0</v>
          </cell>
          <cell r="D51">
            <v>0</v>
          </cell>
          <cell r="E51">
            <v>0</v>
          </cell>
          <cell r="G51">
            <v>0</v>
          </cell>
          <cell r="H51">
            <v>0</v>
          </cell>
          <cell r="I51">
            <v>0</v>
          </cell>
          <cell r="K51">
            <v>0</v>
          </cell>
          <cell r="L51" t="str">
            <v>n/a</v>
          </cell>
          <cell r="M51">
            <v>0</v>
          </cell>
          <cell r="N51" t="str">
            <v>n/a</v>
          </cell>
        </row>
        <row r="52">
          <cell r="C52">
            <v>0</v>
          </cell>
          <cell r="D52">
            <v>0</v>
          </cell>
          <cell r="E52">
            <v>0</v>
          </cell>
          <cell r="G52">
            <v>0</v>
          </cell>
          <cell r="H52">
            <v>0</v>
          </cell>
          <cell r="I52">
            <v>0</v>
          </cell>
          <cell r="K52">
            <v>0</v>
          </cell>
          <cell r="L52" t="str">
            <v>n/a</v>
          </cell>
          <cell r="M52">
            <v>0</v>
          </cell>
          <cell r="N52" t="str">
            <v>n/a</v>
          </cell>
        </row>
        <row r="53">
          <cell r="C53">
            <v>0</v>
          </cell>
          <cell r="D53">
            <v>0</v>
          </cell>
          <cell r="E53">
            <v>0</v>
          </cell>
          <cell r="G53">
            <v>0</v>
          </cell>
          <cell r="H53">
            <v>0</v>
          </cell>
          <cell r="I53">
            <v>0</v>
          </cell>
          <cell r="K53">
            <v>0</v>
          </cell>
          <cell r="L53" t="str">
            <v>n/a</v>
          </cell>
          <cell r="M53">
            <v>0</v>
          </cell>
          <cell r="N53" t="str">
            <v>n/a</v>
          </cell>
        </row>
        <row r="54">
          <cell r="C54">
            <v>0</v>
          </cell>
          <cell r="D54">
            <v>0</v>
          </cell>
          <cell r="E54">
            <v>0</v>
          </cell>
          <cell r="G54">
            <v>0</v>
          </cell>
          <cell r="H54">
            <v>0</v>
          </cell>
          <cell r="I54">
            <v>0</v>
          </cell>
          <cell r="K54">
            <v>0</v>
          </cell>
          <cell r="L54" t="str">
            <v>n/a</v>
          </cell>
          <cell r="M54">
            <v>0</v>
          </cell>
          <cell r="N54" t="str">
            <v>n/a</v>
          </cell>
        </row>
        <row r="55">
          <cell r="C55">
            <v>0</v>
          </cell>
          <cell r="D55">
            <v>0</v>
          </cell>
          <cell r="E55">
            <v>0</v>
          </cell>
          <cell r="G55">
            <v>0</v>
          </cell>
          <cell r="H55">
            <v>0</v>
          </cell>
          <cell r="I55">
            <v>0</v>
          </cell>
          <cell r="K55">
            <v>0</v>
          </cell>
          <cell r="L55" t="str">
            <v>n/a</v>
          </cell>
          <cell r="M55">
            <v>0</v>
          </cell>
          <cell r="N55" t="str">
            <v>n/a</v>
          </cell>
        </row>
        <row r="56">
          <cell r="C56">
            <v>0</v>
          </cell>
          <cell r="D56">
            <v>0</v>
          </cell>
          <cell r="E56">
            <v>0</v>
          </cell>
          <cell r="G56">
            <v>0</v>
          </cell>
          <cell r="H56">
            <v>0</v>
          </cell>
          <cell r="I56">
            <v>0</v>
          </cell>
          <cell r="K56">
            <v>0</v>
          </cell>
          <cell r="L56" t="str">
            <v>n/a</v>
          </cell>
          <cell r="M56">
            <v>0</v>
          </cell>
          <cell r="N56" t="str">
            <v>n/a</v>
          </cell>
        </row>
        <row r="57">
          <cell r="C57">
            <v>0</v>
          </cell>
          <cell r="D57">
            <v>0</v>
          </cell>
          <cell r="E57">
            <v>0</v>
          </cell>
          <cell r="G57">
            <v>0</v>
          </cell>
          <cell r="H57">
            <v>19.824999999999999</v>
          </cell>
          <cell r="I57">
            <v>-19.824999999999999</v>
          </cell>
          <cell r="K57">
            <v>0</v>
          </cell>
          <cell r="L57" t="str">
            <v>n/a</v>
          </cell>
          <cell r="M57">
            <v>0</v>
          </cell>
          <cell r="N57" t="str">
            <v>n/a</v>
          </cell>
        </row>
        <row r="58">
          <cell r="C58">
            <v>0</v>
          </cell>
          <cell r="D58">
            <v>0</v>
          </cell>
          <cell r="E58">
            <v>0</v>
          </cell>
          <cell r="G58">
            <v>0</v>
          </cell>
          <cell r="H58">
            <v>-17.731000000000002</v>
          </cell>
          <cell r="I58">
            <v>17.731000000000002</v>
          </cell>
          <cell r="K58">
            <v>0</v>
          </cell>
          <cell r="L58" t="str">
            <v>n/a</v>
          </cell>
          <cell r="M58">
            <v>0</v>
          </cell>
          <cell r="N58" t="str">
            <v>n/a</v>
          </cell>
        </row>
        <row r="60">
          <cell r="C60">
            <v>8404.5189600000012</v>
          </cell>
          <cell r="D60">
            <v>9242.1553695534876</v>
          </cell>
          <cell r="E60">
            <v>-837.63640955348637</v>
          </cell>
          <cell r="G60">
            <v>47146.798389999996</v>
          </cell>
          <cell r="H60">
            <v>48441.340086969554</v>
          </cell>
          <cell r="I60">
            <v>-1294.541696969558</v>
          </cell>
          <cell r="K60">
            <v>-837.63640955348637</v>
          </cell>
          <cell r="L60">
            <v>9.9665003260756002E-2</v>
          </cell>
          <cell r="M60">
            <v>-37904.643020446507</v>
          </cell>
          <cell r="N60">
            <v>4.1012774082240711</v>
          </cell>
        </row>
        <row r="62">
          <cell r="C62">
            <v>0</v>
          </cell>
          <cell r="D62">
            <v>0</v>
          </cell>
          <cell r="E62">
            <v>0</v>
          </cell>
          <cell r="G62">
            <v>0</v>
          </cell>
          <cell r="H62">
            <v>0</v>
          </cell>
          <cell r="I62">
            <v>0</v>
          </cell>
          <cell r="K62">
            <v>0</v>
          </cell>
          <cell r="L62" t="str">
            <v>n/a</v>
          </cell>
          <cell r="M62">
            <v>0</v>
          </cell>
          <cell r="N62" t="str">
            <v>n/a</v>
          </cell>
        </row>
        <row r="63">
          <cell r="E63">
            <v>0</v>
          </cell>
          <cell r="I63">
            <v>0</v>
          </cell>
          <cell r="K63">
            <v>0</v>
          </cell>
          <cell r="L63" t="str">
            <v>n/a</v>
          </cell>
          <cell r="M63">
            <v>0</v>
          </cell>
          <cell r="N63" t="str">
            <v>n/a</v>
          </cell>
        </row>
        <row r="65">
          <cell r="C65">
            <v>8404.5189600000012</v>
          </cell>
          <cell r="D65">
            <v>9242.1553695534876</v>
          </cell>
          <cell r="E65">
            <v>-837.63640955348637</v>
          </cell>
          <cell r="G65">
            <v>47146.798389999996</v>
          </cell>
          <cell r="H65">
            <v>48441.340086969554</v>
          </cell>
          <cell r="I65">
            <v>-1294.541696969558</v>
          </cell>
          <cell r="K65">
            <v>-837.63640955348637</v>
          </cell>
          <cell r="L65">
            <v>9.9665003260756002E-2</v>
          </cell>
          <cell r="M65">
            <v>-37904.643020446507</v>
          </cell>
          <cell r="N65">
            <v>4.1012774082240711</v>
          </cell>
        </row>
        <row r="68">
          <cell r="C68">
            <v>18.014120000000002</v>
          </cell>
          <cell r="D68">
            <v>32.317767365801721</v>
          </cell>
          <cell r="E68">
            <v>-14.303647365801719</v>
          </cell>
          <cell r="G68">
            <v>465.66536000000002</v>
          </cell>
          <cell r="H68">
            <v>514.32029272242676</v>
          </cell>
          <cell r="I68">
            <v>-48.654932722426736</v>
          </cell>
          <cell r="K68">
            <v>-14.303647365801719</v>
          </cell>
          <cell r="L68">
            <v>0.79402420799915396</v>
          </cell>
          <cell r="M68">
            <v>-433.34759263419829</v>
          </cell>
          <cell r="N68" t="str">
            <v>n/a</v>
          </cell>
        </row>
        <row r="69">
          <cell r="C69">
            <v>4.3743999999999996</v>
          </cell>
          <cell r="D69">
            <v>0</v>
          </cell>
          <cell r="E69">
            <v>4.3743999999999996</v>
          </cell>
          <cell r="G69">
            <v>9.0131600000000009</v>
          </cell>
          <cell r="H69">
            <v>9.7259999999999985E-2</v>
          </cell>
          <cell r="I69">
            <v>8.9159000000000006</v>
          </cell>
          <cell r="K69">
            <v>4.3743999999999996</v>
          </cell>
          <cell r="L69">
            <v>-1</v>
          </cell>
          <cell r="M69">
            <v>-9.0131600000000009</v>
          </cell>
          <cell r="N69" t="str">
            <v>n/a</v>
          </cell>
        </row>
        <row r="70">
          <cell r="C70">
            <v>4.5130000000000003E-2</v>
          </cell>
          <cell r="D70">
            <v>0</v>
          </cell>
          <cell r="E70">
            <v>4.5130000000000003E-2</v>
          </cell>
          <cell r="G70">
            <v>378.12974000000003</v>
          </cell>
          <cell r="H70">
            <v>378.03334999999998</v>
          </cell>
          <cell r="I70">
            <v>9.6390000000042164E-2</v>
          </cell>
          <cell r="K70">
            <v>4.5130000000000003E-2</v>
          </cell>
          <cell r="L70">
            <v>-1</v>
          </cell>
          <cell r="M70">
            <v>-378.12974000000003</v>
          </cell>
          <cell r="N70" t="str">
            <v>n/a</v>
          </cell>
        </row>
        <row r="71">
          <cell r="C71">
            <v>346.48326999999995</v>
          </cell>
          <cell r="D71">
            <v>356.9579952185224</v>
          </cell>
          <cell r="E71">
            <v>-10.474725218522451</v>
          </cell>
          <cell r="G71">
            <v>1399.4393400000001</v>
          </cell>
          <cell r="H71">
            <v>1534.6560334827225</v>
          </cell>
          <cell r="I71">
            <v>-135.21669348272235</v>
          </cell>
          <cell r="K71">
            <v>-10.474725218522451</v>
          </cell>
          <cell r="L71">
            <v>3.0231546875329585E-2</v>
          </cell>
          <cell r="M71">
            <v>-1042.4813447814777</v>
          </cell>
          <cell r="N71">
            <v>2.9204594342908385</v>
          </cell>
        </row>
        <row r="72">
          <cell r="C72">
            <v>366.75449999999995</v>
          </cell>
          <cell r="D72">
            <v>57.180382199057497</v>
          </cell>
          <cell r="E72">
            <v>309.57411780094247</v>
          </cell>
          <cell r="G72">
            <v>2367.2721100000003</v>
          </cell>
          <cell r="H72">
            <v>1884.0642327495632</v>
          </cell>
          <cell r="I72">
            <v>483.20787725043715</v>
          </cell>
          <cell r="K72">
            <v>309.57411780094247</v>
          </cell>
          <cell r="L72">
            <v>-0.84409085042158305</v>
          </cell>
          <cell r="M72">
            <v>-2310.0917278009429</v>
          </cell>
          <cell r="N72" t="str">
            <v>n/a</v>
          </cell>
        </row>
        <row r="73">
          <cell r="C73">
            <v>0.10701999999999999</v>
          </cell>
          <cell r="D73">
            <v>0</v>
          </cell>
          <cell r="E73">
            <v>0.10701999999999999</v>
          </cell>
          <cell r="G73">
            <v>26.931350000000002</v>
          </cell>
          <cell r="H73">
            <v>10.293150000000001</v>
          </cell>
          <cell r="I73">
            <v>16.638200000000001</v>
          </cell>
          <cell r="K73">
            <v>0.10701999999999999</v>
          </cell>
          <cell r="L73">
            <v>-1</v>
          </cell>
          <cell r="M73">
            <v>-26.931350000000002</v>
          </cell>
          <cell r="N73" t="str">
            <v>n/a</v>
          </cell>
        </row>
        <row r="74">
          <cell r="C74">
            <v>65.806089999999998</v>
          </cell>
          <cell r="D74">
            <v>613.69940871734696</v>
          </cell>
          <cell r="E74">
            <v>-547.89331871734692</v>
          </cell>
          <cell r="G74">
            <v>363.87515000000002</v>
          </cell>
          <cell r="H74">
            <v>1219.0232036956338</v>
          </cell>
          <cell r="I74">
            <v>-855.14805369563373</v>
          </cell>
          <cell r="K74">
            <v>-547.89331871734692</v>
          </cell>
          <cell r="L74">
            <v>8.3258755947564573</v>
          </cell>
          <cell r="M74">
            <v>249.82425871734694</v>
          </cell>
          <cell r="N74">
            <v>-0.40707919083625699</v>
          </cell>
        </row>
        <row r="75">
          <cell r="C75">
            <v>801.58452999999997</v>
          </cell>
          <cell r="D75">
            <v>1060.1555535007285</v>
          </cell>
          <cell r="E75">
            <v>-258.57102350072853</v>
          </cell>
          <cell r="G75">
            <v>5010.3262100000002</v>
          </cell>
          <cell r="H75">
            <v>5540.4875226503473</v>
          </cell>
          <cell r="I75">
            <v>-530.1613126503471</v>
          </cell>
          <cell r="K75">
            <v>-258.57102350072853</v>
          </cell>
          <cell r="L75">
            <v>0.3225748674325446</v>
          </cell>
          <cell r="M75">
            <v>-3950.1706564992719</v>
          </cell>
          <cell r="N75">
            <v>3.7260293015071744</v>
          </cell>
        </row>
        <row r="76">
          <cell r="C76">
            <v>605.35581000000002</v>
          </cell>
          <cell r="D76">
            <v>418.34206050931721</v>
          </cell>
          <cell r="E76">
            <v>187.01374949068281</v>
          </cell>
          <cell r="G76">
            <v>2780.9581100000005</v>
          </cell>
          <cell r="H76">
            <v>2099.0495903857691</v>
          </cell>
          <cell r="I76">
            <v>681.90851961423141</v>
          </cell>
          <cell r="K76">
            <v>187.01374949068281</v>
          </cell>
          <cell r="L76">
            <v>-0.3089319477922956</v>
          </cell>
          <cell r="M76">
            <v>-2362.6160494906835</v>
          </cell>
          <cell r="N76">
            <v>5.6475699493717624</v>
          </cell>
        </row>
        <row r="77">
          <cell r="C77">
            <v>3.4228199999999998</v>
          </cell>
          <cell r="D77">
            <v>2.2677378576252885</v>
          </cell>
          <cell r="E77">
            <v>1.1550821423747113</v>
          </cell>
          <cell r="G77">
            <v>13.61749</v>
          </cell>
          <cell r="H77">
            <v>10.848093566546574</v>
          </cell>
          <cell r="I77">
            <v>2.7693964334534265</v>
          </cell>
          <cell r="K77">
            <v>1.1550821423747113</v>
          </cell>
          <cell r="L77">
            <v>-0.33746505582376851</v>
          </cell>
          <cell r="M77">
            <v>-11.349752142374712</v>
          </cell>
          <cell r="N77">
            <v>5.004878365553175</v>
          </cell>
        </row>
        <row r="78">
          <cell r="C78">
            <v>1410.3631600000001</v>
          </cell>
          <cell r="D78">
            <v>1480.7653518676709</v>
          </cell>
          <cell r="E78">
            <v>-70.402191867670808</v>
          </cell>
          <cell r="G78">
            <v>7804.9018100000003</v>
          </cell>
          <cell r="H78">
            <v>7650.3852066026629</v>
          </cell>
          <cell r="I78">
            <v>154.51660339733735</v>
          </cell>
          <cell r="K78">
            <v>-70.402191867670808</v>
          </cell>
          <cell r="L78">
            <v>4.9917775693794297E-2</v>
          </cell>
          <cell r="M78">
            <v>-6324.1364581323296</v>
          </cell>
          <cell r="N78">
            <v>4.2708565878825935</v>
          </cell>
        </row>
        <row r="79">
          <cell r="C79">
            <v>787.96605999999997</v>
          </cell>
          <cell r="D79">
            <v>670.83497501796148</v>
          </cell>
          <cell r="E79">
            <v>117.13108498203849</v>
          </cell>
          <cell r="G79">
            <v>3698.6956800000007</v>
          </cell>
          <cell r="H79">
            <v>3448.2286322321916</v>
          </cell>
          <cell r="I79">
            <v>250.46704776780916</v>
          </cell>
          <cell r="K79">
            <v>117.13108498203849</v>
          </cell>
          <cell r="L79">
            <v>-0.14864991137059702</v>
          </cell>
          <cell r="M79">
            <v>-3027.8607049820394</v>
          </cell>
          <cell r="N79">
            <v>4.513570129376407</v>
          </cell>
        </row>
        <row r="80">
          <cell r="C80">
            <v>642.57960999999989</v>
          </cell>
          <cell r="D80">
            <v>759.91429421388523</v>
          </cell>
          <cell r="E80">
            <v>-117.33468421388534</v>
          </cell>
          <cell r="G80">
            <v>3000.3831100000011</v>
          </cell>
          <cell r="H80">
            <v>3582.7140452007875</v>
          </cell>
          <cell r="I80">
            <v>-582.33093520078637</v>
          </cell>
          <cell r="K80">
            <v>-117.33468421388534</v>
          </cell>
          <cell r="L80">
            <v>0.18259945131761235</v>
          </cell>
          <cell r="M80">
            <v>-2240.468815786116</v>
          </cell>
          <cell r="N80">
            <v>2.9483177679975503</v>
          </cell>
        </row>
        <row r="81">
          <cell r="C81">
            <v>0</v>
          </cell>
          <cell r="D81">
            <v>0</v>
          </cell>
          <cell r="E81">
            <v>0</v>
          </cell>
          <cell r="G81">
            <v>0</v>
          </cell>
          <cell r="H81">
            <v>0</v>
          </cell>
          <cell r="I81">
            <v>0</v>
          </cell>
          <cell r="K81">
            <v>0</v>
          </cell>
          <cell r="L81" t="str">
            <v>n/a</v>
          </cell>
          <cell r="M81">
            <v>0</v>
          </cell>
          <cell r="N81" t="str">
            <v>n/a</v>
          </cell>
        </row>
        <row r="82">
          <cell r="C82">
            <v>0</v>
          </cell>
          <cell r="D82">
            <v>0</v>
          </cell>
          <cell r="E82">
            <v>0</v>
          </cell>
          <cell r="G82">
            <v>0</v>
          </cell>
          <cell r="H82">
            <v>0</v>
          </cell>
          <cell r="I82">
            <v>0</v>
          </cell>
          <cell r="K82">
            <v>0</v>
          </cell>
          <cell r="L82" t="str">
            <v>n/a</v>
          </cell>
          <cell r="M82">
            <v>0</v>
          </cell>
          <cell r="N82" t="str">
            <v>n/a</v>
          </cell>
        </row>
        <row r="83">
          <cell r="C83">
            <v>0</v>
          </cell>
          <cell r="D83">
            <v>0</v>
          </cell>
          <cell r="E83">
            <v>0</v>
          </cell>
          <cell r="G83">
            <v>0</v>
          </cell>
          <cell r="H83">
            <v>0</v>
          </cell>
          <cell r="I83">
            <v>0</v>
          </cell>
          <cell r="K83">
            <v>0</v>
          </cell>
          <cell r="L83" t="str">
            <v>n/a</v>
          </cell>
          <cell r="M83">
            <v>0</v>
          </cell>
          <cell r="N83" t="str">
            <v>n/a</v>
          </cell>
        </row>
        <row r="84">
          <cell r="C84">
            <v>2840.9088299999994</v>
          </cell>
          <cell r="D84">
            <v>2911.5146210995176</v>
          </cell>
          <cell r="E84">
            <v>-70.605791099518228</v>
          </cell>
          <cell r="G84">
            <v>14503.980599999997</v>
          </cell>
          <cell r="H84">
            <v>14681.327884035645</v>
          </cell>
          <cell r="I84">
            <v>-177.34728403564804</v>
          </cell>
          <cell r="K84">
            <v>-70.605791099518228</v>
          </cell>
          <cell r="L84">
            <v>2.4853240749552086E-2</v>
          </cell>
          <cell r="M84">
            <v>-11592.46597890048</v>
          </cell>
          <cell r="N84">
            <v>3.9815929121189324</v>
          </cell>
        </row>
        <row r="86">
          <cell r="C86">
            <v>1353.2125000000001</v>
          </cell>
          <cell r="D86">
            <v>1167.8097672049278</v>
          </cell>
          <cell r="E86">
            <v>185.40273279507232</v>
          </cell>
          <cell r="G86">
            <v>817.42500000000007</v>
          </cell>
          <cell r="H86">
            <v>847.55000000000007</v>
          </cell>
          <cell r="I86">
            <v>-30.125</v>
          </cell>
          <cell r="K86">
            <v>185.40273279507232</v>
          </cell>
          <cell r="L86">
            <v>-0.13700932617388051</v>
          </cell>
          <cell r="M86">
            <v>350.3847672049277</v>
          </cell>
          <cell r="N86">
            <v>-0.30003582522138816</v>
          </cell>
        </row>
        <row r="87">
          <cell r="C87">
            <v>0</v>
          </cell>
          <cell r="D87">
            <v>2.1520000000000001</v>
          </cell>
          <cell r="E87">
            <v>-2.1520000000000001</v>
          </cell>
          <cell r="G87">
            <v>0</v>
          </cell>
          <cell r="H87">
            <v>27.814</v>
          </cell>
          <cell r="I87">
            <v>-27.814</v>
          </cell>
          <cell r="K87">
            <v>-2.1520000000000001</v>
          </cell>
          <cell r="L87" t="str">
            <v>n/a</v>
          </cell>
          <cell r="M87">
            <v>2.1520000000000001</v>
          </cell>
          <cell r="N87">
            <v>-1</v>
          </cell>
        </row>
        <row r="88">
          <cell r="C88">
            <v>0</v>
          </cell>
          <cell r="D88">
            <v>0</v>
          </cell>
          <cell r="E88">
            <v>0</v>
          </cell>
          <cell r="G88">
            <v>0</v>
          </cell>
          <cell r="H88">
            <v>0</v>
          </cell>
          <cell r="I88">
            <v>0</v>
          </cell>
          <cell r="K88">
            <v>0</v>
          </cell>
          <cell r="L88" t="str">
            <v>n/a</v>
          </cell>
          <cell r="M88">
            <v>0</v>
          </cell>
          <cell r="N88" t="str">
            <v>n/a</v>
          </cell>
        </row>
        <row r="89">
          <cell r="C89">
            <v>0</v>
          </cell>
          <cell r="D89">
            <v>0</v>
          </cell>
          <cell r="E89">
            <v>0</v>
          </cell>
          <cell r="G89">
            <v>0</v>
          </cell>
          <cell r="H89">
            <v>0</v>
          </cell>
          <cell r="I89">
            <v>0</v>
          </cell>
          <cell r="K89">
            <v>0</v>
          </cell>
          <cell r="L89" t="str">
            <v>n/a</v>
          </cell>
          <cell r="M89">
            <v>0</v>
          </cell>
          <cell r="N89" t="str">
            <v>n/a</v>
          </cell>
        </row>
        <row r="90">
          <cell r="C90">
            <v>0</v>
          </cell>
          <cell r="D90">
            <v>0</v>
          </cell>
          <cell r="E90">
            <v>0</v>
          </cell>
          <cell r="G90">
            <v>137.70684</v>
          </cell>
          <cell r="H90">
            <v>69.380250000000004</v>
          </cell>
          <cell r="I90">
            <v>68.326589999999996</v>
          </cell>
          <cell r="K90">
            <v>0</v>
          </cell>
          <cell r="L90" t="str">
            <v>n/a</v>
          </cell>
          <cell r="M90">
            <v>-137.70684</v>
          </cell>
          <cell r="N90" t="str">
            <v>n/a</v>
          </cell>
        </row>
        <row r="91">
          <cell r="C91">
            <v>12.95</v>
          </cell>
          <cell r="D91">
            <v>12.95</v>
          </cell>
          <cell r="E91">
            <v>0</v>
          </cell>
          <cell r="G91">
            <v>92.599000000000004</v>
          </cell>
          <cell r="H91">
            <v>111.17</v>
          </cell>
          <cell r="I91">
            <v>-18.570999999999998</v>
          </cell>
          <cell r="K91">
            <v>0</v>
          </cell>
          <cell r="L91">
            <v>0</v>
          </cell>
          <cell r="M91">
            <v>-79.649000000000001</v>
          </cell>
          <cell r="N91">
            <v>6.1505019305019308</v>
          </cell>
        </row>
        <row r="92">
          <cell r="C92">
            <v>0</v>
          </cell>
          <cell r="D92">
            <v>-8.6669999999999998</v>
          </cell>
          <cell r="E92">
            <v>8.6669999999999998</v>
          </cell>
          <cell r="G92">
            <v>0</v>
          </cell>
          <cell r="H92">
            <v>-69.334000000000003</v>
          </cell>
          <cell r="I92">
            <v>69.334000000000003</v>
          </cell>
          <cell r="K92">
            <v>8.6669999999999998</v>
          </cell>
          <cell r="L92" t="str">
            <v>n/a</v>
          </cell>
          <cell r="M92">
            <v>-8.6669999999999998</v>
          </cell>
          <cell r="N92">
            <v>-1</v>
          </cell>
        </row>
        <row r="93">
          <cell r="C93">
            <v>0</v>
          </cell>
          <cell r="D93">
            <v>0</v>
          </cell>
          <cell r="E93">
            <v>0</v>
          </cell>
          <cell r="G93">
            <v>0</v>
          </cell>
          <cell r="H93">
            <v>0</v>
          </cell>
          <cell r="I93">
            <v>0</v>
          </cell>
          <cell r="K93">
            <v>0</v>
          </cell>
          <cell r="L93" t="str">
            <v>n/a</v>
          </cell>
          <cell r="M93">
            <v>0</v>
          </cell>
          <cell r="N93" t="str">
            <v>n/a</v>
          </cell>
        </row>
        <row r="95">
          <cell r="C95">
            <v>2853.8588299999997</v>
          </cell>
          <cell r="D95">
            <v>2917.9496210995176</v>
          </cell>
          <cell r="E95">
            <v>-64.090791099517901</v>
          </cell>
          <cell r="G95">
            <v>14734.286439999998</v>
          </cell>
          <cell r="H95">
            <v>14820.358134035645</v>
          </cell>
          <cell r="I95">
            <v>-86.071694035646942</v>
          </cell>
          <cell r="K95">
            <v>-64.090791099517901</v>
          </cell>
          <cell r="L95">
            <v>2.2457589851954118E-2</v>
          </cell>
          <cell r="M95">
            <v>-11816.33681890048</v>
          </cell>
          <cell r="N95">
            <v>4.0495342117825688</v>
          </cell>
        </row>
        <row r="96">
          <cell r="E96">
            <v>0</v>
          </cell>
          <cell r="I96">
            <v>0</v>
          </cell>
          <cell r="K96">
            <v>0</v>
          </cell>
          <cell r="L96" t="str">
            <v>n/a</v>
          </cell>
          <cell r="M96">
            <v>0</v>
          </cell>
          <cell r="N96" t="str">
            <v>n/a</v>
          </cell>
        </row>
        <row r="98">
          <cell r="C98">
            <v>4207.0713299999998</v>
          </cell>
          <cell r="D98">
            <v>4085.7593883044451</v>
          </cell>
          <cell r="E98">
            <v>121.31194169555465</v>
          </cell>
          <cell r="G98">
            <v>15551.711439999997</v>
          </cell>
          <cell r="H98">
            <v>15667.908134035644</v>
          </cell>
          <cell r="I98">
            <v>-116.19669403564694</v>
          </cell>
          <cell r="K98">
            <v>121.31194169555465</v>
          </cell>
          <cell r="L98">
            <v>-2.8835247177887657E-2</v>
          </cell>
          <cell r="M98">
            <v>-11465.952051695553</v>
          </cell>
          <cell r="N98">
            <v>2.8063209215200073</v>
          </cell>
        </row>
        <row r="100">
          <cell r="C100">
            <v>4197.4476300000015</v>
          </cell>
          <cell r="D100">
            <v>5156.395981249043</v>
          </cell>
          <cell r="E100">
            <v>-958.94835124904148</v>
          </cell>
          <cell r="G100">
            <v>31595.086949999997</v>
          </cell>
          <cell r="H100">
            <v>32773.431952933912</v>
          </cell>
          <cell r="I100">
            <v>-1178.3450029339147</v>
          </cell>
          <cell r="K100">
            <v>-958.94835124904148</v>
          </cell>
          <cell r="L100">
            <v>0.22845987270817747</v>
          </cell>
          <cell r="M100">
            <v>-26438.690968750954</v>
          </cell>
          <cell r="N100">
            <v>5.1273585397424544</v>
          </cell>
        </row>
      </sheetData>
      <sheetData sheetId="25" refreshError="1">
        <row r="10">
          <cell r="C10">
            <v>1453.7262599999997</v>
          </cell>
          <cell r="D10">
            <v>1601.96983</v>
          </cell>
          <cell r="E10">
            <v>148.24357000000032</v>
          </cell>
          <cell r="G10">
            <v>7796.4423999999981</v>
          </cell>
          <cell r="H10">
            <v>8228.6442433340017</v>
          </cell>
          <cell r="I10">
            <v>432.20184333400357</v>
          </cell>
          <cell r="K10">
            <v>-148.24357000000032</v>
          </cell>
          <cell r="L10">
            <v>0.10197488624852968</v>
          </cell>
          <cell r="M10">
            <v>-6194.4725699999981</v>
          </cell>
          <cell r="N10">
            <v>3.8667847883252575</v>
          </cell>
          <cell r="O10">
            <v>-432.20184333400357</v>
          </cell>
          <cell r="P10">
            <v>5.5435777135222963E-2</v>
          </cell>
          <cell r="Q10" t="e">
            <v>#REF!</v>
          </cell>
          <cell r="R10" t="str">
            <v>n/a</v>
          </cell>
        </row>
        <row r="11">
          <cell r="C11">
            <v>61.038999999999994</v>
          </cell>
          <cell r="D11">
            <v>58.781000000000006</v>
          </cell>
          <cell r="E11">
            <v>-2.2579999999999885</v>
          </cell>
          <cell r="G11">
            <v>588.38337999999999</v>
          </cell>
          <cell r="H11">
            <v>597.04565000000002</v>
          </cell>
          <cell r="I11">
            <v>8.662270000000035</v>
          </cell>
          <cell r="K11">
            <v>2.2579999999999885</v>
          </cell>
          <cell r="L11">
            <v>-3.6992742345057894E-2</v>
          </cell>
          <cell r="M11">
            <v>-529.60238000000004</v>
          </cell>
          <cell r="N11">
            <v>9.0097545125125453</v>
          </cell>
          <cell r="O11">
            <v>-8.662270000000035</v>
          </cell>
          <cell r="P11">
            <v>1.4722152756932116E-2</v>
          </cell>
          <cell r="Q11" t="e">
            <v>#REF!</v>
          </cell>
          <cell r="R11" t="str">
            <v>n/a</v>
          </cell>
        </row>
        <row r="12">
          <cell r="C12">
            <v>20.410349999999998</v>
          </cell>
          <cell r="D12">
            <v>6.2249999999999996</v>
          </cell>
          <cell r="E12">
            <v>-14.185349999999998</v>
          </cell>
          <cell r="G12">
            <v>155.15947999999995</v>
          </cell>
          <cell r="H12">
            <v>111.71761000000001</v>
          </cell>
          <cell r="I12">
            <v>-43.441869999999938</v>
          </cell>
          <cell r="K12">
            <v>14.185349999999998</v>
          </cell>
          <cell r="L12">
            <v>-0.69500767992709578</v>
          </cell>
          <cell r="M12">
            <v>-148.93447999999995</v>
          </cell>
          <cell r="N12" t="str">
            <v>n/a</v>
          </cell>
          <cell r="O12">
            <v>43.441869999999938</v>
          </cell>
          <cell r="P12">
            <v>-0.27998205459311898</v>
          </cell>
          <cell r="Q12" t="e">
            <v>#REF!</v>
          </cell>
          <cell r="R12" t="str">
            <v>n/a</v>
          </cell>
        </row>
        <row r="13">
          <cell r="C13">
            <v>0</v>
          </cell>
          <cell r="D13">
            <v>0</v>
          </cell>
          <cell r="E13">
            <v>0</v>
          </cell>
          <cell r="G13">
            <v>0</v>
          </cell>
          <cell r="H13">
            <v>0</v>
          </cell>
          <cell r="I13">
            <v>0</v>
          </cell>
          <cell r="K13">
            <v>0</v>
          </cell>
          <cell r="L13" t="str">
            <v>n/a</v>
          </cell>
          <cell r="M13">
            <v>0</v>
          </cell>
          <cell r="N13" t="str">
            <v>n/a</v>
          </cell>
          <cell r="O13">
            <v>0</v>
          </cell>
          <cell r="P13" t="str">
            <v>n/a</v>
          </cell>
          <cell r="Q13" t="e">
            <v>#REF!</v>
          </cell>
          <cell r="R13" t="str">
            <v>n/a</v>
          </cell>
        </row>
        <row r="14">
          <cell r="C14">
            <v>1535.1756099999998</v>
          </cell>
          <cell r="D14">
            <v>1666.9758299999999</v>
          </cell>
          <cell r="E14">
            <v>131.80022000000008</v>
          </cell>
          <cell r="G14">
            <v>8539.9852599999977</v>
          </cell>
          <cell r="H14">
            <v>8937.4075033340014</v>
          </cell>
          <cell r="I14">
            <v>397.42224333400372</v>
          </cell>
          <cell r="K14">
            <v>-131.80022000000008</v>
          </cell>
          <cell r="L14">
            <v>8.5853513527354819E-2</v>
          </cell>
          <cell r="M14">
            <v>-6873.0094299999982</v>
          </cell>
          <cell r="N14">
            <v>4.1230408421698579</v>
          </cell>
          <cell r="O14">
            <v>-397.42224333400372</v>
          </cell>
          <cell r="P14">
            <v>4.6536642773316039E-2</v>
          </cell>
          <cell r="Q14" t="e">
            <v>#REF!</v>
          </cell>
          <cell r="R14" t="str">
            <v>n/a</v>
          </cell>
        </row>
        <row r="16">
          <cell r="C16">
            <v>73.165419999999997</v>
          </cell>
          <cell r="D16">
            <v>73.165416667000002</v>
          </cell>
          <cell r="E16">
            <v>-3.3329999951092759E-6</v>
          </cell>
          <cell r="G16">
            <v>407.82732999999996</v>
          </cell>
          <cell r="H16">
            <v>407.61065666799999</v>
          </cell>
          <cell r="I16">
            <v>-0.21667333199997074</v>
          </cell>
          <cell r="K16">
            <v>3.3329999951092759E-6</v>
          </cell>
          <cell r="L16">
            <v>-4.5554306882245044E-8</v>
          </cell>
          <cell r="M16">
            <v>-334.66191333299997</v>
          </cell>
          <cell r="N16">
            <v>4.5740450690817074</v>
          </cell>
          <cell r="O16">
            <v>0.21667333199997074</v>
          </cell>
          <cell r="P16">
            <v>-5.3128693459547627E-4</v>
          </cell>
          <cell r="Q16" t="e">
            <v>#REF!</v>
          </cell>
          <cell r="R16" t="str">
            <v>n/a</v>
          </cell>
        </row>
        <row r="18">
          <cell r="C18">
            <v>271.64661000000001</v>
          </cell>
          <cell r="D18">
            <v>308.2414555309997</v>
          </cell>
          <cell r="E18">
            <v>36.594845530999692</v>
          </cell>
          <cell r="G18">
            <v>1407.5694099999998</v>
          </cell>
          <cell r="H18">
            <v>1810.4759919259998</v>
          </cell>
          <cell r="I18">
            <v>402.90658192599994</v>
          </cell>
          <cell r="K18">
            <v>-36.594845530999692</v>
          </cell>
          <cell r="L18">
            <v>0.13471489863613506</v>
          </cell>
          <cell r="M18">
            <v>-1099.3279544690001</v>
          </cell>
          <cell r="N18">
            <v>3.566450698771896</v>
          </cell>
          <cell r="O18">
            <v>-402.90658192599994</v>
          </cell>
          <cell r="P18">
            <v>0.28624278068532338</v>
          </cell>
          <cell r="Q18" t="e">
            <v>#REF!</v>
          </cell>
          <cell r="R18" t="str">
            <v>n/a</v>
          </cell>
        </row>
        <row r="19">
          <cell r="C19">
            <v>-102.23397</v>
          </cell>
          <cell r="D19">
            <v>43.889326214949463</v>
          </cell>
          <cell r="E19">
            <v>146.12329621494945</v>
          </cell>
          <cell r="G19">
            <v>-346.68317999999999</v>
          </cell>
          <cell r="H19">
            <v>222.61730485979783</v>
          </cell>
          <cell r="I19">
            <v>569.30048485979785</v>
          </cell>
          <cell r="K19">
            <v>-146.12329621494945</v>
          </cell>
          <cell r="L19">
            <v>-1.4293027671228014</v>
          </cell>
          <cell r="M19">
            <v>390.57250621494944</v>
          </cell>
          <cell r="N19">
            <v>-8.8990317213371508</v>
          </cell>
          <cell r="O19">
            <v>-569.30048485979785</v>
          </cell>
          <cell r="P19">
            <v>-1.6421347146400289</v>
          </cell>
          <cell r="Q19" t="e">
            <v>#REF!</v>
          </cell>
          <cell r="R19" t="str">
            <v>n/a</v>
          </cell>
        </row>
        <row r="20">
          <cell r="C20">
            <v>-2.8718699999999999</v>
          </cell>
          <cell r="D20">
            <v>0</v>
          </cell>
          <cell r="E20">
            <v>2.8718699999999999</v>
          </cell>
          <cell r="G20">
            <v>-4.37012</v>
          </cell>
          <cell r="H20">
            <v>-8.415839073681534E-25</v>
          </cell>
          <cell r="I20">
            <v>4.37012</v>
          </cell>
          <cell r="K20">
            <v>-2.8718699999999999</v>
          </cell>
          <cell r="L20">
            <v>-1</v>
          </cell>
          <cell r="M20">
            <v>4.37012</v>
          </cell>
          <cell r="N20" t="str">
            <v>n/a</v>
          </cell>
          <cell r="O20">
            <v>-4.37012</v>
          </cell>
          <cell r="P20">
            <v>-1</v>
          </cell>
          <cell r="Q20" t="e">
            <v>#REF!</v>
          </cell>
          <cell r="R20" t="str">
            <v>n/a</v>
          </cell>
        </row>
        <row r="21">
          <cell r="C21">
            <v>166.54076999999998</v>
          </cell>
          <cell r="D21">
            <v>352.13078174594938</v>
          </cell>
          <cell r="E21">
            <v>185.5900117459494</v>
          </cell>
          <cell r="G21">
            <v>1056.5161099999998</v>
          </cell>
          <cell r="H21">
            <v>2033.0932967857975</v>
          </cell>
          <cell r="I21">
            <v>976.57718678579772</v>
          </cell>
          <cell r="K21">
            <v>-185.5900117459494</v>
          </cell>
          <cell r="L21">
            <v>1.1143818522392408</v>
          </cell>
          <cell r="M21">
            <v>-704.38532825405036</v>
          </cell>
          <cell r="N21">
            <v>2.0003514738516697</v>
          </cell>
          <cell r="O21">
            <v>-976.57718678579772</v>
          </cell>
          <cell r="P21">
            <v>0.92433724156444508</v>
          </cell>
          <cell r="Q21" t="e">
            <v>#REF!</v>
          </cell>
          <cell r="R21" t="str">
            <v>n/a</v>
          </cell>
        </row>
        <row r="23">
          <cell r="C23">
            <v>33.15</v>
          </cell>
          <cell r="D23">
            <v>14.000000276390004</v>
          </cell>
          <cell r="E23">
            <v>-19.149999723609994</v>
          </cell>
          <cell r="G23">
            <v>317.52488</v>
          </cell>
          <cell r="H23">
            <v>179.79998110556002</v>
          </cell>
          <cell r="I23">
            <v>-137.72489889443997</v>
          </cell>
          <cell r="K23">
            <v>19.149999723609994</v>
          </cell>
          <cell r="L23">
            <v>-0.57767721639849157</v>
          </cell>
          <cell r="M23">
            <v>-303.52487972361001</v>
          </cell>
          <cell r="N23" t="str">
            <v>n/a</v>
          </cell>
          <cell r="O23">
            <v>137.72489889443997</v>
          </cell>
          <cell r="P23">
            <v>-0.43374521988462755</v>
          </cell>
          <cell r="Q23" t="e">
            <v>#REF!</v>
          </cell>
          <cell r="R23" t="str">
            <v>n/a</v>
          </cell>
        </row>
        <row r="24">
          <cell r="C24">
            <v>0</v>
          </cell>
          <cell r="D24">
            <v>0</v>
          </cell>
          <cell r="E24">
            <v>0</v>
          </cell>
          <cell r="G24">
            <v>0</v>
          </cell>
          <cell r="H24">
            <v>0</v>
          </cell>
          <cell r="I24">
            <v>0</v>
          </cell>
          <cell r="K24">
            <v>0</v>
          </cell>
          <cell r="L24" t="str">
            <v>n/a</v>
          </cell>
          <cell r="M24">
            <v>0</v>
          </cell>
          <cell r="N24" t="str">
            <v>n/a</v>
          </cell>
          <cell r="O24">
            <v>0</v>
          </cell>
          <cell r="P24" t="str">
            <v>n/a</v>
          </cell>
          <cell r="Q24" t="e">
            <v>#REF!</v>
          </cell>
          <cell r="R24" t="str">
            <v>n/a</v>
          </cell>
        </row>
        <row r="25">
          <cell r="C25">
            <v>17.275199999999998</v>
          </cell>
          <cell r="D25">
            <v>32.050999999999995</v>
          </cell>
          <cell r="E25">
            <v>14.775799999999997</v>
          </cell>
          <cell r="G25">
            <v>91.635650000000027</v>
          </cell>
          <cell r="H25">
            <v>131.03424999999996</v>
          </cell>
          <cell r="I25">
            <v>39.398599999999931</v>
          </cell>
          <cell r="K25">
            <v>-14.775799999999997</v>
          </cell>
          <cell r="L25">
            <v>0.85531860702046858</v>
          </cell>
          <cell r="M25">
            <v>-59.584650000000032</v>
          </cell>
          <cell r="N25">
            <v>1.8590574397054707</v>
          </cell>
          <cell r="O25">
            <v>-39.398599999999931</v>
          </cell>
          <cell r="P25">
            <v>0.42994838799091739</v>
          </cell>
          <cell r="Q25" t="e">
            <v>#REF!</v>
          </cell>
          <cell r="R25" t="str">
            <v>n/a</v>
          </cell>
        </row>
        <row r="26">
          <cell r="C26">
            <v>25.781630000000003</v>
          </cell>
          <cell r="D26">
            <v>17.550999999999995</v>
          </cell>
          <cell r="E26">
            <v>-8.2306300000000086</v>
          </cell>
          <cell r="G26">
            <v>115.17862999999998</v>
          </cell>
          <cell r="H26">
            <v>71.664979999999986</v>
          </cell>
          <cell r="I26">
            <v>-43.513649999999998</v>
          </cell>
          <cell r="K26">
            <v>8.2306300000000086</v>
          </cell>
          <cell r="L26">
            <v>-0.3192439733251935</v>
          </cell>
          <cell r="M26">
            <v>-97.627629999999982</v>
          </cell>
          <cell r="N26">
            <v>5.5625109680360101</v>
          </cell>
          <cell r="O26">
            <v>43.513649999999998</v>
          </cell>
          <cell r="P26">
            <v>-0.37779273811470071</v>
          </cell>
          <cell r="Q26" t="e">
            <v>#REF!</v>
          </cell>
          <cell r="R26" t="str">
            <v>n/a</v>
          </cell>
        </row>
        <row r="27">
          <cell r="C27">
            <v>0</v>
          </cell>
          <cell r="D27">
            <v>0</v>
          </cell>
          <cell r="E27">
            <v>0</v>
          </cell>
          <cell r="G27">
            <v>0</v>
          </cell>
          <cell r="H27">
            <v>0</v>
          </cell>
          <cell r="I27">
            <v>0</v>
          </cell>
          <cell r="K27">
            <v>0</v>
          </cell>
          <cell r="L27" t="str">
            <v>n/a</v>
          </cell>
          <cell r="M27">
            <v>0</v>
          </cell>
          <cell r="N27" t="str">
            <v>n/a</v>
          </cell>
          <cell r="O27">
            <v>0</v>
          </cell>
          <cell r="P27" t="str">
            <v>n/a</v>
          </cell>
          <cell r="Q27" t="e">
            <v>#REF!</v>
          </cell>
          <cell r="R27" t="str">
            <v>n/a</v>
          </cell>
        </row>
        <row r="28">
          <cell r="C28">
            <v>0</v>
          </cell>
          <cell r="D28">
            <v>10.298999999999987</v>
          </cell>
          <cell r="E28">
            <v>10.298999999999987</v>
          </cell>
          <cell r="G28">
            <v>0</v>
          </cell>
          <cell r="H28">
            <v>41.16799999999995</v>
          </cell>
          <cell r="I28">
            <v>41.16799999999995</v>
          </cell>
          <cell r="K28">
            <v>-10.298999999999987</v>
          </cell>
          <cell r="L28" t="str">
            <v>n/a</v>
          </cell>
          <cell r="M28">
            <v>10.298999999999987</v>
          </cell>
          <cell r="N28">
            <v>-1</v>
          </cell>
          <cell r="O28">
            <v>-41.16799999999995</v>
          </cell>
          <cell r="P28" t="str">
            <v>n/a</v>
          </cell>
          <cell r="Q28" t="e">
            <v>#REF!</v>
          </cell>
          <cell r="R28" t="str">
            <v>n/a</v>
          </cell>
        </row>
        <row r="29">
          <cell r="C29">
            <v>28.928229999999999</v>
          </cell>
          <cell r="D29">
            <v>30.949777777777776</v>
          </cell>
          <cell r="E29">
            <v>2.0215477777777764</v>
          </cell>
          <cell r="G29">
            <v>172.18534999999994</v>
          </cell>
          <cell r="H29">
            <v>127.47227111111107</v>
          </cell>
          <cell r="I29">
            <v>-44.713078888888873</v>
          </cell>
          <cell r="K29">
            <v>-2.0215477777777764</v>
          </cell>
          <cell r="L29">
            <v>6.9881488697295824E-2</v>
          </cell>
          <cell r="M29">
            <v>-141.23557222222217</v>
          </cell>
          <cell r="N29">
            <v>4.5633792021482815</v>
          </cell>
          <cell r="O29">
            <v>44.713078888888873</v>
          </cell>
          <cell r="P29">
            <v>-0.25967992566666609</v>
          </cell>
          <cell r="Q29" t="e">
            <v>#REF!</v>
          </cell>
          <cell r="R29" t="str">
            <v>n/a</v>
          </cell>
        </row>
        <row r="30">
          <cell r="C30">
            <v>114.3746</v>
          </cell>
          <cell r="D30">
            <v>158.49102666666661</v>
          </cell>
          <cell r="E30">
            <v>44.116426666666612</v>
          </cell>
          <cell r="G30">
            <v>784.00681999999983</v>
          </cell>
          <cell r="H30">
            <v>972.062546666667</v>
          </cell>
          <cell r="I30">
            <v>188.05572666666717</v>
          </cell>
          <cell r="K30">
            <v>-44.116426666666612</v>
          </cell>
          <cell r="L30">
            <v>0.38571874058284461</v>
          </cell>
          <cell r="M30">
            <v>-625.51579333333325</v>
          </cell>
          <cell r="N30">
            <v>3.9466953207950288</v>
          </cell>
          <cell r="O30">
            <v>-188.05572666666717</v>
          </cell>
          <cell r="P30">
            <v>0.23986491171934854</v>
          </cell>
          <cell r="Q30" t="e">
            <v>#REF!</v>
          </cell>
          <cell r="R30" t="str">
            <v>n/a</v>
          </cell>
        </row>
        <row r="31">
          <cell r="C31">
            <v>105.38262</v>
          </cell>
          <cell r="D31">
            <v>104.04699999999997</v>
          </cell>
          <cell r="E31">
            <v>-1.3356200000000342</v>
          </cell>
          <cell r="G31">
            <v>516.22899999999993</v>
          </cell>
          <cell r="H31">
            <v>500.14308000000017</v>
          </cell>
          <cell r="I31">
            <v>-16.08591999999976</v>
          </cell>
          <cell r="K31">
            <v>1.3356200000000342</v>
          </cell>
          <cell r="L31">
            <v>-1.2674006396880544E-2</v>
          </cell>
          <cell r="M31">
            <v>-412.18199999999996</v>
          </cell>
          <cell r="N31">
            <v>3.9614981690966591</v>
          </cell>
          <cell r="O31">
            <v>16.08591999999976</v>
          </cell>
          <cell r="P31">
            <v>-3.1160434613320409E-2</v>
          </cell>
          <cell r="Q31" t="e">
            <v>#REF!</v>
          </cell>
          <cell r="R31" t="str">
            <v>n/a</v>
          </cell>
        </row>
        <row r="32">
          <cell r="C32">
            <v>11.31115</v>
          </cell>
          <cell r="D32">
            <v>18.442888888888884</v>
          </cell>
          <cell r="E32">
            <v>7.1317388888888846</v>
          </cell>
          <cell r="G32">
            <v>114.37607000000003</v>
          </cell>
          <cell r="H32">
            <v>110.09018555555554</v>
          </cell>
          <cell r="I32">
            <v>-4.2858844444444912</v>
          </cell>
          <cell r="K32">
            <v>-7.1317388888888846</v>
          </cell>
          <cell r="L32">
            <v>0.63050519963831131</v>
          </cell>
          <cell r="M32">
            <v>-95.933181111111139</v>
          </cell>
          <cell r="N32">
            <v>5.2016352583952896</v>
          </cell>
          <cell r="O32">
            <v>4.2858844444444912</v>
          </cell>
          <cell r="P32">
            <v>-3.7471863165472352E-2</v>
          </cell>
          <cell r="Q32" t="e">
            <v>#REF!</v>
          </cell>
          <cell r="R32" t="str">
            <v>n/a</v>
          </cell>
        </row>
        <row r="33">
          <cell r="C33">
            <v>3.7926100000000003</v>
          </cell>
          <cell r="D33">
            <v>60.571715138277774</v>
          </cell>
          <cell r="E33">
            <v>56.779105138277771</v>
          </cell>
          <cell r="G33">
            <v>206.15381999999988</v>
          </cell>
          <cell r="H33">
            <v>257.89915666101103</v>
          </cell>
          <cell r="I33">
            <v>51.745336661011152</v>
          </cell>
          <cell r="K33">
            <v>-56.779105138277771</v>
          </cell>
          <cell r="L33" t="str">
            <v>n/a</v>
          </cell>
          <cell r="M33">
            <v>-145.58210486172212</v>
          </cell>
          <cell r="N33">
            <v>2.4034667753649717</v>
          </cell>
          <cell r="O33">
            <v>-51.745336661011152</v>
          </cell>
          <cell r="P33">
            <v>0.25100353057251712</v>
          </cell>
          <cell r="Q33" t="e">
            <v>#REF!</v>
          </cell>
          <cell r="R33" t="str">
            <v>n/a</v>
          </cell>
        </row>
        <row r="34">
          <cell r="C34">
            <v>0</v>
          </cell>
          <cell r="D34">
            <v>0</v>
          </cell>
          <cell r="E34">
            <v>0</v>
          </cell>
          <cell r="G34">
            <v>0</v>
          </cell>
          <cell r="H34">
            <v>0</v>
          </cell>
          <cell r="I34">
            <v>0</v>
          </cell>
          <cell r="K34">
            <v>0</v>
          </cell>
          <cell r="L34" t="str">
            <v>n/a</v>
          </cell>
          <cell r="M34">
            <v>0</v>
          </cell>
          <cell r="N34" t="str">
            <v>n/a</v>
          </cell>
          <cell r="O34">
            <v>0</v>
          </cell>
          <cell r="P34" t="str">
            <v>n/a</v>
          </cell>
          <cell r="Q34" t="e">
            <v>#REF!</v>
          </cell>
          <cell r="R34" t="str">
            <v>n/a</v>
          </cell>
        </row>
        <row r="35">
          <cell r="C35">
            <v>-124.34122000000001</v>
          </cell>
          <cell r="D35">
            <v>-113.35380887638551</v>
          </cell>
          <cell r="E35">
            <v>10.987411123614493</v>
          </cell>
          <cell r="G35">
            <v>-511.60009999999994</v>
          </cell>
          <cell r="H35">
            <v>-480.77282111297455</v>
          </cell>
          <cell r="I35">
            <v>30.827278887025386</v>
          </cell>
          <cell r="K35">
            <v>-10.987411123614493</v>
          </cell>
          <cell r="L35">
            <v>-8.836499371338391E-2</v>
          </cell>
          <cell r="M35">
            <v>398.24629112361441</v>
          </cell>
          <cell r="N35">
            <v>3.5133031264781724</v>
          </cell>
          <cell r="O35">
            <v>-30.827278887025386</v>
          </cell>
          <cell r="P35">
            <v>-6.0256592770457584E-2</v>
          </cell>
          <cell r="Q35" t="e">
            <v>#REF!</v>
          </cell>
          <cell r="R35" t="str">
            <v>n/a</v>
          </cell>
        </row>
        <row r="36">
          <cell r="C36">
            <v>215.65482000000003</v>
          </cell>
          <cell r="D36">
            <v>333.04959987161556</v>
          </cell>
          <cell r="E36">
            <v>117.39477987161553</v>
          </cell>
          <cell r="G36">
            <v>1805.6901199999988</v>
          </cell>
          <cell r="H36">
            <v>1910.5616299869291</v>
          </cell>
          <cell r="I36">
            <v>104.87150998693028</v>
          </cell>
          <cell r="K36">
            <v>-117.39477987161553</v>
          </cell>
          <cell r="L36">
            <v>0.54436427561236744</v>
          </cell>
          <cell r="M36">
            <v>-1472.6405201283833</v>
          </cell>
          <cell r="N36">
            <v>4.421685300616061</v>
          </cell>
          <cell r="O36">
            <v>-104.87150998693028</v>
          </cell>
          <cell r="P36">
            <v>5.8078353990733689E-2</v>
          </cell>
          <cell r="Q36" t="e">
            <v>#REF!</v>
          </cell>
          <cell r="R36" t="str">
            <v>n/a</v>
          </cell>
        </row>
        <row r="37">
          <cell r="C37">
            <v>1990.5366199999999</v>
          </cell>
          <cell r="D37">
            <v>2425.3216282845651</v>
          </cell>
          <cell r="E37">
            <v>434.78500828456527</v>
          </cell>
          <cell r="G37">
            <v>11810.018819999998</v>
          </cell>
          <cell r="H37">
            <v>13288.673086774728</v>
          </cell>
          <cell r="I37">
            <v>1478.6542667747308</v>
          </cell>
          <cell r="K37">
            <v>-434.78500828456527</v>
          </cell>
          <cell r="L37">
            <v>0.21842602839658642</v>
          </cell>
          <cell r="M37">
            <v>-9384.6971917154333</v>
          </cell>
          <cell r="N37">
            <v>3.8694650153898342</v>
          </cell>
          <cell r="O37">
            <v>-1478.6542667747308</v>
          </cell>
          <cell r="P37">
            <v>0.12520337937740322</v>
          </cell>
          <cell r="Q37" t="e">
            <v>#REF!</v>
          </cell>
          <cell r="R37" t="str">
            <v>n/a</v>
          </cell>
        </row>
        <row r="39">
          <cell r="C39">
            <v>-12.59</v>
          </cell>
          <cell r="D39">
            <v>-12.590000000000057</v>
          </cell>
          <cell r="E39">
            <v>-5.6843418860808015E-14</v>
          </cell>
          <cell r="G39">
            <v>-24.997</v>
          </cell>
          <cell r="H39">
            <v>-26.301000000000137</v>
          </cell>
          <cell r="I39">
            <v>-1.304000000000137</v>
          </cell>
          <cell r="K39">
            <v>5.6843418860808015E-14</v>
          </cell>
          <cell r="L39">
            <v>4.4408920985006262E-15</v>
          </cell>
          <cell r="M39">
            <v>12.406999999999943</v>
          </cell>
          <cell r="N39">
            <v>0.98546465448767973</v>
          </cell>
          <cell r="O39">
            <v>1.304000000000137</v>
          </cell>
          <cell r="P39">
            <v>5.2166259951199612E-2</v>
          </cell>
          <cell r="Q39" t="e">
            <v>#REF!</v>
          </cell>
          <cell r="R39" t="str">
            <v>n/a</v>
          </cell>
        </row>
        <row r="40">
          <cell r="C40">
            <v>0</v>
          </cell>
          <cell r="D40">
            <v>0</v>
          </cell>
          <cell r="E40">
            <v>0</v>
          </cell>
          <cell r="G40">
            <v>0</v>
          </cell>
          <cell r="H40">
            <v>0</v>
          </cell>
          <cell r="I40">
            <v>0</v>
          </cell>
          <cell r="K40">
            <v>0</v>
          </cell>
          <cell r="L40" t="str">
            <v>n/a</v>
          </cell>
          <cell r="M40">
            <v>0</v>
          </cell>
          <cell r="N40" t="str">
            <v>n/a</v>
          </cell>
          <cell r="O40">
            <v>0</v>
          </cell>
          <cell r="P40" t="str">
            <v>n/a</v>
          </cell>
          <cell r="Q40" t="e">
            <v>#REF!</v>
          </cell>
          <cell r="R40" t="str">
            <v>n/a</v>
          </cell>
        </row>
        <row r="41">
          <cell r="C41">
            <v>-12.59</v>
          </cell>
          <cell r="D41">
            <v>-12.590000000000057</v>
          </cell>
          <cell r="E41">
            <v>-5.6843418860808015E-14</v>
          </cell>
          <cell r="G41">
            <v>-24.997</v>
          </cell>
          <cell r="H41">
            <v>-26.301000000000137</v>
          </cell>
          <cell r="I41">
            <v>-1.304000000000137</v>
          </cell>
          <cell r="K41">
            <v>5.6843418860808015E-14</v>
          </cell>
          <cell r="L41">
            <v>4.4408920985006262E-15</v>
          </cell>
          <cell r="M41">
            <v>12.406999999999943</v>
          </cell>
          <cell r="N41">
            <v>0.98546465448767973</v>
          </cell>
          <cell r="O41">
            <v>1.304000000000137</v>
          </cell>
          <cell r="P41">
            <v>5.2166259951199612E-2</v>
          </cell>
          <cell r="Q41" t="e">
            <v>#REF!</v>
          </cell>
          <cell r="R41" t="str">
            <v>n/a</v>
          </cell>
        </row>
        <row r="43">
          <cell r="C43">
            <v>124.14721999999999</v>
          </cell>
          <cell r="D43">
            <v>144.71700000000001</v>
          </cell>
          <cell r="E43">
            <v>20.569780000000023</v>
          </cell>
          <cell r="G43">
            <v>701.76416999999992</v>
          </cell>
          <cell r="H43">
            <v>749.88379000000009</v>
          </cell>
          <cell r="I43">
            <v>48.119620000000168</v>
          </cell>
          <cell r="K43">
            <v>-20.569780000000023</v>
          </cell>
          <cell r="L43">
            <v>0.16568860744525749</v>
          </cell>
          <cell r="M43">
            <v>-557.04716999999994</v>
          </cell>
          <cell r="N43">
            <v>3.849217230871286</v>
          </cell>
          <cell r="O43">
            <v>-48.119620000000168</v>
          </cell>
          <cell r="P43">
            <v>6.8569502486854228E-2</v>
          </cell>
          <cell r="Q43" t="e">
            <v>#REF!</v>
          </cell>
          <cell r="R43" t="str">
            <v>n/a</v>
          </cell>
        </row>
        <row r="44">
          <cell r="C44">
            <v>30.751459999999998</v>
          </cell>
          <cell r="D44">
            <v>28.446999999999999</v>
          </cell>
          <cell r="E44">
            <v>-2.3044599999999988</v>
          </cell>
          <cell r="G44">
            <v>173.89069999999998</v>
          </cell>
          <cell r="H44">
            <v>186.78656999999998</v>
          </cell>
          <cell r="I44">
            <v>12.895870000000002</v>
          </cell>
          <cell r="K44">
            <v>2.3044599999999988</v>
          </cell>
          <cell r="L44">
            <v>-7.4938230575068543E-2</v>
          </cell>
          <cell r="M44">
            <v>-145.44369999999998</v>
          </cell>
          <cell r="N44">
            <v>5.1127957253840473</v>
          </cell>
          <cell r="O44">
            <v>-12.895870000000002</v>
          </cell>
          <cell r="P44">
            <v>7.4160780306249841E-2</v>
          </cell>
          <cell r="Q44" t="e">
            <v>#REF!</v>
          </cell>
          <cell r="R44" t="str">
            <v>n/a</v>
          </cell>
        </row>
        <row r="45">
          <cell r="C45">
            <v>0.25</v>
          </cell>
          <cell r="D45">
            <v>0</v>
          </cell>
          <cell r="E45">
            <v>-0.25</v>
          </cell>
          <cell r="G45">
            <v>6.6607400000000005</v>
          </cell>
          <cell r="H45">
            <v>2.07498</v>
          </cell>
          <cell r="I45">
            <v>-4.5857600000000005</v>
          </cell>
          <cell r="K45">
            <v>0.25</v>
          </cell>
          <cell r="L45">
            <v>-1</v>
          </cell>
          <cell r="M45">
            <v>-6.6607400000000005</v>
          </cell>
          <cell r="N45" t="str">
            <v>n/a</v>
          </cell>
          <cell r="O45">
            <v>4.5857600000000005</v>
          </cell>
          <cell r="P45">
            <v>-0.68847605521308441</v>
          </cell>
          <cell r="Q45" t="e">
            <v>#REF!</v>
          </cell>
          <cell r="R45" t="str">
            <v>n/a</v>
          </cell>
        </row>
        <row r="46">
          <cell r="C46">
            <v>38.87547</v>
          </cell>
          <cell r="D46">
            <v>18.585000000000001</v>
          </cell>
          <cell r="E46">
            <v>-20.290469999999999</v>
          </cell>
          <cell r="G46">
            <v>141.77553999999998</v>
          </cell>
          <cell r="H46">
            <v>103.70388</v>
          </cell>
          <cell r="I46">
            <v>-38.07165999999998</v>
          </cell>
          <cell r="K46">
            <v>20.290469999999999</v>
          </cell>
          <cell r="L46">
            <v>-0.52193504027089577</v>
          </cell>
          <cell r="M46">
            <v>-123.19053999999997</v>
          </cell>
          <cell r="N46">
            <v>6.628492870594564</v>
          </cell>
          <cell r="O46">
            <v>38.07165999999998</v>
          </cell>
          <cell r="P46">
            <v>-0.26853475571315044</v>
          </cell>
          <cell r="Q46" t="e">
            <v>#REF!</v>
          </cell>
          <cell r="R46" t="str">
            <v>n/a</v>
          </cell>
        </row>
        <row r="47">
          <cell r="C47">
            <v>28.777910000000002</v>
          </cell>
          <cell r="D47">
            <v>19.708444444444446</v>
          </cell>
          <cell r="E47">
            <v>-9.0694655555555563</v>
          </cell>
          <cell r="G47">
            <v>116.80590000000001</v>
          </cell>
          <cell r="H47">
            <v>115.88903777777779</v>
          </cell>
          <cell r="I47">
            <v>-0.91686222222222113</v>
          </cell>
          <cell r="K47">
            <v>9.0694655555555563</v>
          </cell>
          <cell r="L47">
            <v>-0.31515372574156897</v>
          </cell>
          <cell r="M47">
            <v>-97.09745555555557</v>
          </cell>
          <cell r="N47">
            <v>4.9266930137109872</v>
          </cell>
          <cell r="O47">
            <v>0.91686222222222113</v>
          </cell>
          <cell r="P47">
            <v>-7.849451288181708E-3</v>
          </cell>
          <cell r="Q47" t="e">
            <v>#REF!</v>
          </cell>
          <cell r="R47" t="str">
            <v>n/a</v>
          </cell>
        </row>
        <row r="48">
          <cell r="C48">
            <v>54.791069999999998</v>
          </cell>
          <cell r="D48">
            <v>52.734000000000002</v>
          </cell>
          <cell r="E48">
            <v>-2.057069999999996</v>
          </cell>
          <cell r="G48">
            <v>280.12304999999998</v>
          </cell>
          <cell r="H48">
            <v>263.67116999999996</v>
          </cell>
          <cell r="I48">
            <v>-16.451880000000017</v>
          </cell>
          <cell r="K48">
            <v>2.057069999999996</v>
          </cell>
          <cell r="L48">
            <v>-3.7543891732722101E-2</v>
          </cell>
          <cell r="M48">
            <v>-227.38904999999997</v>
          </cell>
          <cell r="N48">
            <v>4.3120007964501079</v>
          </cell>
          <cell r="O48">
            <v>16.451880000000017</v>
          </cell>
          <cell r="P48">
            <v>-5.8730904150872343E-2</v>
          </cell>
          <cell r="Q48" t="e">
            <v>#REF!</v>
          </cell>
          <cell r="R48" t="str">
            <v>n/a</v>
          </cell>
        </row>
        <row r="49">
          <cell r="C49">
            <v>91.840170000000001</v>
          </cell>
          <cell r="D49">
            <v>69.924999999999997</v>
          </cell>
          <cell r="E49">
            <v>-21.915170000000003</v>
          </cell>
          <cell r="G49">
            <v>416.8487300000001</v>
          </cell>
          <cell r="H49">
            <v>395.66062999999997</v>
          </cell>
          <cell r="I49">
            <v>-21.188100000000134</v>
          </cell>
          <cell r="K49">
            <v>21.915170000000003</v>
          </cell>
          <cell r="L49">
            <v>-0.23862292502289584</v>
          </cell>
          <cell r="M49">
            <v>-346.92373000000009</v>
          </cell>
          <cell r="N49">
            <v>4.9613690382552749</v>
          </cell>
          <cell r="O49">
            <v>21.188100000000134</v>
          </cell>
          <cell r="P49">
            <v>-5.0829230066264386E-2</v>
          </cell>
          <cell r="Q49" t="e">
            <v>#REF!</v>
          </cell>
          <cell r="R49" t="str">
            <v>n/a</v>
          </cell>
        </row>
        <row r="50">
          <cell r="C50">
            <v>2.01248</v>
          </cell>
          <cell r="D50">
            <v>14.953999999999999</v>
          </cell>
          <cell r="E50">
            <v>12.941519999999999</v>
          </cell>
          <cell r="G50">
            <v>106.39251999999998</v>
          </cell>
          <cell r="H50">
            <v>115.80284000000005</v>
          </cell>
          <cell r="I50">
            <v>9.4103200000000697</v>
          </cell>
          <cell r="K50">
            <v>-12.941519999999999</v>
          </cell>
          <cell r="L50">
            <v>6.4306328510096984</v>
          </cell>
          <cell r="M50">
            <v>-91.438519999999983</v>
          </cell>
          <cell r="N50">
            <v>6.1146529356693851</v>
          </cell>
          <cell r="O50">
            <v>-9.4103200000000697</v>
          </cell>
          <cell r="P50">
            <v>8.8449075179346082E-2</v>
          </cell>
          <cell r="Q50" t="e">
            <v>#REF!</v>
          </cell>
          <cell r="R50" t="str">
            <v>n/a</v>
          </cell>
        </row>
        <row r="51">
          <cell r="C51">
            <v>-22.910050000000002</v>
          </cell>
          <cell r="D51">
            <v>-18.879000000000001</v>
          </cell>
          <cell r="E51">
            <v>4.0310500000000005</v>
          </cell>
          <cell r="G51">
            <v>-68.847750000000005</v>
          </cell>
          <cell r="H51">
            <v>-88.938790000000012</v>
          </cell>
          <cell r="I51">
            <v>-20.091040000000007</v>
          </cell>
          <cell r="K51">
            <v>-4.0310500000000005</v>
          </cell>
          <cell r="L51">
            <v>-0.17595116553652224</v>
          </cell>
          <cell r="M51">
            <v>49.96875</v>
          </cell>
          <cell r="N51">
            <v>2.6467900842205627</v>
          </cell>
          <cell r="O51">
            <v>20.091040000000007</v>
          </cell>
          <cell r="P51">
            <v>0.29181839638913409</v>
          </cell>
          <cell r="Q51" t="e">
            <v>#REF!</v>
          </cell>
          <cell r="R51" t="str">
            <v>n/a</v>
          </cell>
        </row>
        <row r="52">
          <cell r="C52">
            <v>15.157770000000001</v>
          </cell>
          <cell r="D52">
            <v>19.245000000000001</v>
          </cell>
          <cell r="E52">
            <v>4.0872299999999999</v>
          </cell>
          <cell r="G52">
            <v>70.039290000000051</v>
          </cell>
          <cell r="H52">
            <v>96.325999999999993</v>
          </cell>
          <cell r="I52">
            <v>26.286709999999943</v>
          </cell>
          <cell r="K52">
            <v>-4.0872299999999999</v>
          </cell>
          <cell r="L52">
            <v>0.26964586479409558</v>
          </cell>
          <cell r="M52">
            <v>-50.794290000000046</v>
          </cell>
          <cell r="N52">
            <v>2.6393499610288411</v>
          </cell>
          <cell r="O52">
            <v>-26.286709999999943</v>
          </cell>
          <cell r="P52">
            <v>0.37531377031377566</v>
          </cell>
          <cell r="Q52" t="e">
            <v>#REF!</v>
          </cell>
          <cell r="R52" t="str">
            <v>n/a</v>
          </cell>
        </row>
        <row r="53">
          <cell r="C53">
            <v>0</v>
          </cell>
          <cell r="D53">
            <v>3.72</v>
          </cell>
          <cell r="E53">
            <v>3.72</v>
          </cell>
          <cell r="G53">
            <v>0</v>
          </cell>
          <cell r="H53">
            <v>24.346</v>
          </cell>
          <cell r="I53">
            <v>24.346</v>
          </cell>
          <cell r="K53">
            <v>-3.72</v>
          </cell>
          <cell r="L53" t="str">
            <v>n/a</v>
          </cell>
          <cell r="M53">
            <v>3.72</v>
          </cell>
          <cell r="N53">
            <v>-1</v>
          </cell>
          <cell r="O53">
            <v>-24.346</v>
          </cell>
          <cell r="P53" t="str">
            <v>n/a</v>
          </cell>
          <cell r="Q53" t="e">
            <v>#REF!</v>
          </cell>
          <cell r="R53" t="str">
            <v>n/a</v>
          </cell>
        </row>
        <row r="54">
          <cell r="C54">
            <v>363.69349999999997</v>
          </cell>
          <cell r="D54">
            <v>353.1564444444445</v>
          </cell>
          <cell r="E54">
            <v>-10.537055555555469</v>
          </cell>
          <cell r="G54">
            <v>1945.45289</v>
          </cell>
          <cell r="H54">
            <v>1965.2061077777776</v>
          </cell>
          <cell r="I54">
            <v>19.753217777777536</v>
          </cell>
          <cell r="K54">
            <v>10.537055555555469</v>
          </cell>
          <cell r="L54">
            <v>-2.8972350497205701E-2</v>
          </cell>
          <cell r="M54">
            <v>-1592.2964455555555</v>
          </cell>
          <cell r="N54">
            <v>4.5087565882039051</v>
          </cell>
          <cell r="O54">
            <v>-19.753217777777536</v>
          </cell>
          <cell r="P54">
            <v>1.0153531796792903E-2</v>
          </cell>
          <cell r="Q54" t="e">
            <v>#REF!</v>
          </cell>
          <cell r="R54" t="str">
            <v>n/a</v>
          </cell>
        </row>
        <row r="55">
          <cell r="C55">
            <v>351.1035</v>
          </cell>
          <cell r="D55">
            <v>340.56644444444447</v>
          </cell>
          <cell r="E55">
            <v>-10.537055555555526</v>
          </cell>
          <cell r="G55">
            <v>1920.45589</v>
          </cell>
          <cell r="H55">
            <v>1938.9051077777774</v>
          </cell>
          <cell r="I55">
            <v>18.449217777777449</v>
          </cell>
          <cell r="K55">
            <v>10.537055555555526</v>
          </cell>
          <cell r="L55">
            <v>-3.0011251826186691E-2</v>
          </cell>
          <cell r="M55">
            <v>-1579.8894455555555</v>
          </cell>
          <cell r="N55">
            <v>4.6390050203941273</v>
          </cell>
          <cell r="O55">
            <v>-18.449217777777449</v>
          </cell>
          <cell r="P55">
            <v>9.6066865549186975E-3</v>
          </cell>
          <cell r="Q55" t="e">
            <v>#REF!</v>
          </cell>
          <cell r="R55" t="str">
            <v>n/a</v>
          </cell>
        </row>
        <row r="57">
          <cell r="C57">
            <v>91.43714999999996</v>
          </cell>
          <cell r="D57">
            <v>96.698795499999989</v>
          </cell>
          <cell r="E57">
            <v>5.2616455000000286</v>
          </cell>
          <cell r="G57">
            <v>537.80388000000016</v>
          </cell>
          <cell r="H57">
            <v>536.17370649999975</v>
          </cell>
          <cell r="I57">
            <v>-1.6301735000004101</v>
          </cell>
          <cell r="K57">
            <v>-5.2616455000000286</v>
          </cell>
          <cell r="L57">
            <v>5.7543848424847388E-2</v>
          </cell>
          <cell r="M57">
            <v>-441.1050845000002</v>
          </cell>
          <cell r="N57">
            <v>4.5616399068797113</v>
          </cell>
          <cell r="O57">
            <v>1.6301735000004101</v>
          </cell>
          <cell r="P57">
            <v>-3.0311672351646113E-3</v>
          </cell>
          <cell r="Q57" t="e">
            <v>#REF!</v>
          </cell>
          <cell r="R57" t="str">
            <v>n/a</v>
          </cell>
        </row>
        <row r="58">
          <cell r="C58">
            <v>1.14181</v>
          </cell>
          <cell r="D58">
            <v>0.68200000000000005</v>
          </cell>
          <cell r="E58">
            <v>-0.45980999999999994</v>
          </cell>
          <cell r="G58">
            <v>6.1504499999999993</v>
          </cell>
          <cell r="H58">
            <v>4.31121</v>
          </cell>
          <cell r="I58">
            <v>-1.8392399999999993</v>
          </cell>
          <cell r="K58">
            <v>0.45980999999999994</v>
          </cell>
          <cell r="L58">
            <v>-0.40270272637303928</v>
          </cell>
          <cell r="M58">
            <v>-5.4684499999999989</v>
          </cell>
          <cell r="N58">
            <v>8.018255131964807</v>
          </cell>
          <cell r="O58">
            <v>1.8392399999999993</v>
          </cell>
          <cell r="P58">
            <v>-0.29904153354632579</v>
          </cell>
          <cell r="Q58" t="e">
            <v>#REF!</v>
          </cell>
          <cell r="R58" t="str">
            <v>n/a</v>
          </cell>
        </row>
        <row r="59">
          <cell r="C59">
            <v>48.535060000000001</v>
          </cell>
          <cell r="D59">
            <v>37.560999999999993</v>
          </cell>
          <cell r="E59">
            <v>-10.974060000000009</v>
          </cell>
          <cell r="G59">
            <v>228.6568700000002</v>
          </cell>
          <cell r="H59">
            <v>217.54922999999999</v>
          </cell>
          <cell r="I59">
            <v>-11.107640000000202</v>
          </cell>
          <cell r="K59">
            <v>10.974060000000009</v>
          </cell>
          <cell r="L59">
            <v>-0.22610582947667124</v>
          </cell>
          <cell r="M59">
            <v>-191.09587000000022</v>
          </cell>
          <cell r="N59">
            <v>5.0876140145363609</v>
          </cell>
          <cell r="O59">
            <v>11.107640000000202</v>
          </cell>
          <cell r="P59">
            <v>-4.857776632733668E-2</v>
          </cell>
          <cell r="Q59" t="e">
            <v>#REF!</v>
          </cell>
          <cell r="R59" t="str">
            <v>n/a</v>
          </cell>
        </row>
        <row r="60">
          <cell r="C60">
            <v>28.861150000000002</v>
          </cell>
          <cell r="D60">
            <v>63.947000000000003</v>
          </cell>
          <cell r="E60">
            <v>35.085850000000001</v>
          </cell>
          <cell r="G60">
            <v>147.45940999999999</v>
          </cell>
          <cell r="H60">
            <v>290.34397000000001</v>
          </cell>
          <cell r="I60">
            <v>142.88456000000002</v>
          </cell>
          <cell r="K60">
            <v>-35.085850000000001</v>
          </cell>
          <cell r="L60">
            <v>1.2156774764692329</v>
          </cell>
          <cell r="M60">
            <v>-83.512409999999988</v>
          </cell>
          <cell r="N60">
            <v>1.3059629067821787</v>
          </cell>
          <cell r="O60">
            <v>-142.88456000000002</v>
          </cell>
          <cell r="P60">
            <v>0.96897553028321504</v>
          </cell>
          <cell r="Q60" t="e">
            <v>#REF!</v>
          </cell>
          <cell r="R60" t="str">
            <v>n/a</v>
          </cell>
        </row>
        <row r="61">
          <cell r="C61">
            <v>135.51126999999994</v>
          </cell>
          <cell r="D61">
            <v>43.251278888888884</v>
          </cell>
          <cell r="E61">
            <v>-92.259991111111049</v>
          </cell>
          <cell r="G61">
            <v>606.92711000000008</v>
          </cell>
          <cell r="H61">
            <v>402.26628555555544</v>
          </cell>
          <cell r="I61">
            <v>-204.66082444444464</v>
          </cell>
          <cell r="K61">
            <v>92.259991111111049</v>
          </cell>
          <cell r="L61">
            <v>-0.68082891637803333</v>
          </cell>
          <cell r="M61">
            <v>-563.67583111111117</v>
          </cell>
          <cell r="N61" t="str">
            <v>n/a</v>
          </cell>
          <cell r="O61">
            <v>204.66082444444464</v>
          </cell>
          <cell r="P61">
            <v>-0.33720824308613373</v>
          </cell>
          <cell r="Q61" t="e">
            <v>#REF!</v>
          </cell>
          <cell r="R61" t="str">
            <v>n/a</v>
          </cell>
        </row>
        <row r="62">
          <cell r="C62">
            <v>0.82028000000000001</v>
          </cell>
          <cell r="D62">
            <v>7.989444444444449</v>
          </cell>
          <cell r="E62">
            <v>7.1691644444444487</v>
          </cell>
          <cell r="G62">
            <v>2.9516199999999997</v>
          </cell>
          <cell r="H62">
            <v>31.957777777777796</v>
          </cell>
          <cell r="I62">
            <v>29.006157777777798</v>
          </cell>
          <cell r="K62">
            <v>-7.1691644444444487</v>
          </cell>
          <cell r="L62">
            <v>8.7398991130399963</v>
          </cell>
          <cell r="M62">
            <v>5.0378244444444498</v>
          </cell>
          <cell r="N62">
            <v>-0.63056004450316416</v>
          </cell>
          <cell r="O62">
            <v>-29.006157777777798</v>
          </cell>
          <cell r="P62">
            <v>9.8271992254347786</v>
          </cell>
          <cell r="Q62" t="e">
            <v>#REF!</v>
          </cell>
          <cell r="R62" t="str">
            <v>n/a</v>
          </cell>
        </row>
        <row r="63">
          <cell r="C63">
            <v>11.58525</v>
          </cell>
          <cell r="D63">
            <v>5.6844444444444502</v>
          </cell>
          <cell r="E63">
            <v>-5.9008055555555501</v>
          </cell>
          <cell r="G63">
            <v>239.72915999999992</v>
          </cell>
          <cell r="H63">
            <v>177.44700777777774</v>
          </cell>
          <cell r="I63">
            <v>-62.28215222222218</v>
          </cell>
          <cell r="K63">
            <v>5.9008055555555501</v>
          </cell>
          <cell r="L63">
            <v>-0.50933778343631342</v>
          </cell>
          <cell r="M63">
            <v>-234.04471555555548</v>
          </cell>
          <cell r="N63" t="str">
            <v>n/a</v>
          </cell>
          <cell r="O63">
            <v>62.28215222222218</v>
          </cell>
          <cell r="P63">
            <v>-0.25980215432374687</v>
          </cell>
          <cell r="Q63" t="e">
            <v>#REF!</v>
          </cell>
          <cell r="R63" t="str">
            <v>n/a</v>
          </cell>
        </row>
        <row r="64">
          <cell r="C64">
            <v>17.213560000000001</v>
          </cell>
          <cell r="D64">
            <v>21.691444444444436</v>
          </cell>
          <cell r="E64">
            <v>4.4778844444444346</v>
          </cell>
          <cell r="G64">
            <v>86.067800000000005</v>
          </cell>
          <cell r="H64">
            <v>103.97933777777773</v>
          </cell>
          <cell r="I64">
            <v>17.911537777777724</v>
          </cell>
          <cell r="K64">
            <v>-4.4778844444444346</v>
          </cell>
          <cell r="L64">
            <v>0.26013703408501399</v>
          </cell>
          <cell r="M64">
            <v>-64.376355555555563</v>
          </cell>
          <cell r="N64">
            <v>2.9678224389544283</v>
          </cell>
          <cell r="O64">
            <v>-17.911537777777724</v>
          </cell>
          <cell r="P64">
            <v>0.20810962726801097</v>
          </cell>
          <cell r="Q64" t="e">
            <v>#REF!</v>
          </cell>
          <cell r="R64" t="str">
            <v>n/a</v>
          </cell>
        </row>
        <row r="65">
          <cell r="C65">
            <v>60.4223</v>
          </cell>
          <cell r="D65">
            <v>11.27422</v>
          </cell>
          <cell r="E65">
            <v>-49.14808</v>
          </cell>
          <cell r="G65">
            <v>80.746650000000002</v>
          </cell>
          <cell r="H65">
            <v>49.811170000000004</v>
          </cell>
          <cell r="I65">
            <v>-30.935479999999998</v>
          </cell>
          <cell r="K65">
            <v>49.14808</v>
          </cell>
          <cell r="L65">
            <v>-0.81340961863417971</v>
          </cell>
          <cell r="M65">
            <v>-69.472430000000003</v>
          </cell>
          <cell r="N65">
            <v>6.1620608787126745</v>
          </cell>
          <cell r="O65">
            <v>30.935479999999998</v>
          </cell>
          <cell r="P65">
            <v>-0.38311781355635188</v>
          </cell>
          <cell r="Q65" t="e">
            <v>#REF!</v>
          </cell>
          <cell r="R65" t="str">
            <v>n/a</v>
          </cell>
        </row>
        <row r="66">
          <cell r="C66">
            <v>3</v>
          </cell>
          <cell r="D66">
            <v>5.2060000000000004</v>
          </cell>
          <cell r="E66">
            <v>2.2060000000000004</v>
          </cell>
          <cell r="G66">
            <v>73.74615</v>
          </cell>
          <cell r="H66">
            <v>51.805989999999994</v>
          </cell>
          <cell r="I66">
            <v>-21.940160000000006</v>
          </cell>
          <cell r="K66">
            <v>-2.2060000000000004</v>
          </cell>
          <cell r="L66">
            <v>0.73533333333333339</v>
          </cell>
          <cell r="M66">
            <v>-68.540149999999997</v>
          </cell>
          <cell r="N66" t="str">
            <v>n/a</v>
          </cell>
          <cell r="O66">
            <v>21.940160000000006</v>
          </cell>
          <cell r="P66">
            <v>-0.29750922590535245</v>
          </cell>
          <cell r="Q66" t="e">
            <v>#REF!</v>
          </cell>
          <cell r="R66" t="str">
            <v>n/a</v>
          </cell>
        </row>
        <row r="67">
          <cell r="C67">
            <v>0</v>
          </cell>
          <cell r="D67">
            <v>41.633000000000003</v>
          </cell>
          <cell r="E67">
            <v>41.633000000000003</v>
          </cell>
          <cell r="G67">
            <v>1.5649999999999999</v>
          </cell>
          <cell r="H67">
            <v>166.53200000000001</v>
          </cell>
          <cell r="I67">
            <v>164.96700000000001</v>
          </cell>
          <cell r="K67">
            <v>-41.633000000000003</v>
          </cell>
          <cell r="L67" t="str">
            <v>n/a</v>
          </cell>
          <cell r="M67">
            <v>40.068000000000005</v>
          </cell>
          <cell r="N67">
            <v>-0.96240962697859866</v>
          </cell>
          <cell r="O67">
            <v>-164.96700000000001</v>
          </cell>
          <cell r="P67" t="str">
            <v>n/a</v>
          </cell>
          <cell r="Q67" t="e">
            <v>#REF!</v>
          </cell>
          <cell r="R67" t="str">
            <v>n/a</v>
          </cell>
        </row>
        <row r="68">
          <cell r="C68">
            <v>0.15900999999999998</v>
          </cell>
          <cell r="D68">
            <v>0</v>
          </cell>
          <cell r="E68">
            <v>-0.15900999999999998</v>
          </cell>
          <cell r="G68">
            <v>0.65909000000000006</v>
          </cell>
          <cell r="H68">
            <v>0.50008000000000008</v>
          </cell>
          <cell r="I68">
            <v>-0.15900999999999998</v>
          </cell>
          <cell r="K68">
            <v>0.15900999999999998</v>
          </cell>
          <cell r="L68">
            <v>-1</v>
          </cell>
          <cell r="M68">
            <v>-0.65909000000000006</v>
          </cell>
          <cell r="N68" t="str">
            <v>n/a</v>
          </cell>
          <cell r="O68">
            <v>0.15900999999999998</v>
          </cell>
          <cell r="P68">
            <v>-0.24125688449225446</v>
          </cell>
          <cell r="Q68" t="e">
            <v>#REF!</v>
          </cell>
          <cell r="R68" t="str">
            <v>n/a</v>
          </cell>
        </row>
        <row r="69">
          <cell r="C69">
            <v>0.74</v>
          </cell>
          <cell r="D69">
            <v>0</v>
          </cell>
          <cell r="E69">
            <v>-0.74</v>
          </cell>
          <cell r="G69">
            <v>2.7129100000000004</v>
          </cell>
          <cell r="H69">
            <v>1.5192191552140066E-24</v>
          </cell>
          <cell r="I69">
            <v>-2.7129100000000004</v>
          </cell>
          <cell r="K69">
            <v>0.74</v>
          </cell>
          <cell r="L69">
            <v>-1</v>
          </cell>
          <cell r="M69">
            <v>-2.7129100000000004</v>
          </cell>
          <cell r="N69" t="str">
            <v>n/a</v>
          </cell>
          <cell r="O69">
            <v>2.7129100000000004</v>
          </cell>
          <cell r="P69">
            <v>-1</v>
          </cell>
          <cell r="Q69" t="e">
            <v>#REF!</v>
          </cell>
          <cell r="R69" t="str">
            <v>n/a</v>
          </cell>
        </row>
        <row r="70">
          <cell r="C70">
            <v>399.42683999999997</v>
          </cell>
          <cell r="D70">
            <v>335.61862772222219</v>
          </cell>
          <cell r="E70">
            <v>-63.808212277777784</v>
          </cell>
          <cell r="G70">
            <v>2015.1761000000004</v>
          </cell>
          <cell r="H70">
            <v>2032.6777653888885</v>
          </cell>
          <cell r="I70">
            <v>17.501665388888114</v>
          </cell>
          <cell r="K70">
            <v>63.808212277777784</v>
          </cell>
          <cell r="L70">
            <v>-0.1597494356608028</v>
          </cell>
          <cell r="M70">
            <v>-1679.5574722777783</v>
          </cell>
          <cell r="N70">
            <v>5.0043630881772128</v>
          </cell>
          <cell r="O70">
            <v>-17.501665388888114</v>
          </cell>
          <cell r="P70">
            <v>8.6849310037411254E-3</v>
          </cell>
          <cell r="Q70" t="e">
            <v>#REF!</v>
          </cell>
          <cell r="R70" t="str">
            <v>n/a</v>
          </cell>
        </row>
        <row r="72">
          <cell r="C72">
            <v>16.063130000000001</v>
          </cell>
          <cell r="D72">
            <v>45.534555555555592</v>
          </cell>
          <cell r="E72">
            <v>29.471425555555591</v>
          </cell>
          <cell r="G72">
            <v>25.44390000000001</v>
          </cell>
          <cell r="H72">
            <v>179.92929222222236</v>
          </cell>
          <cell r="I72">
            <v>154.48539222222234</v>
          </cell>
          <cell r="K72">
            <v>-29.471425555555591</v>
          </cell>
          <cell r="L72">
            <v>1.8347249605497553</v>
          </cell>
          <cell r="M72">
            <v>20.090655555555582</v>
          </cell>
          <cell r="N72">
            <v>-0.44121778087947883</v>
          </cell>
          <cell r="O72">
            <v>-154.48539222222234</v>
          </cell>
          <cell r="P72">
            <v>6.0716082134508582</v>
          </cell>
          <cell r="Q72" t="e">
            <v>#REF!</v>
          </cell>
          <cell r="R72" t="str">
            <v>n/a</v>
          </cell>
        </row>
        <row r="73">
          <cell r="C73">
            <v>33.018199999999986</v>
          </cell>
          <cell r="D73">
            <v>11.846999999999985</v>
          </cell>
          <cell r="E73">
            <v>-21.171199999999999</v>
          </cell>
          <cell r="G73">
            <v>164.44753000000006</v>
          </cell>
          <cell r="H73">
            <v>36.471209999999971</v>
          </cell>
          <cell r="I73">
            <v>-127.97632000000009</v>
          </cell>
          <cell r="K73">
            <v>21.171199999999999</v>
          </cell>
          <cell r="L73">
            <v>-0.64119788480292716</v>
          </cell>
          <cell r="M73">
            <v>-152.60053000000008</v>
          </cell>
          <cell r="N73" t="str">
            <v>n/a</v>
          </cell>
          <cell r="O73">
            <v>127.97632000000009</v>
          </cell>
          <cell r="P73">
            <v>-0.77821977624109062</v>
          </cell>
          <cell r="Q73" t="e">
            <v>#REF!</v>
          </cell>
          <cell r="R73" t="str">
            <v>n/a</v>
          </cell>
        </row>
        <row r="74">
          <cell r="C74">
            <v>26.359400000000001</v>
          </cell>
          <cell r="D74">
            <v>10.318</v>
          </cell>
          <cell r="E74">
            <v>-16.041400000000003</v>
          </cell>
          <cell r="G74">
            <v>44.837130000000002</v>
          </cell>
          <cell r="H74">
            <v>44.307000000000002</v>
          </cell>
          <cell r="I74">
            <v>-0.53012999999999977</v>
          </cell>
          <cell r="K74">
            <v>16.041400000000003</v>
          </cell>
          <cell r="L74">
            <v>-0.60856468660136431</v>
          </cell>
          <cell r="M74">
            <v>-34.519130000000004</v>
          </cell>
          <cell r="N74">
            <v>3.3455252955999226</v>
          </cell>
          <cell r="O74">
            <v>0.53012999999999977</v>
          </cell>
          <cell r="P74">
            <v>-1.1823459708504958E-2</v>
          </cell>
          <cell r="Q74" t="e">
            <v>#REF!</v>
          </cell>
          <cell r="R74" t="str">
            <v>n/a</v>
          </cell>
        </row>
        <row r="75">
          <cell r="C75">
            <v>13.73607</v>
          </cell>
          <cell r="D75">
            <v>0.66700000000000004</v>
          </cell>
          <cell r="E75">
            <v>-13.06907</v>
          </cell>
          <cell r="G75">
            <v>293.53558999999996</v>
          </cell>
          <cell r="H75">
            <v>177.91660999999999</v>
          </cell>
          <cell r="I75">
            <v>-115.61897999999997</v>
          </cell>
          <cell r="K75">
            <v>13.06907</v>
          </cell>
          <cell r="L75">
            <v>-0.95144171513395026</v>
          </cell>
          <cell r="M75">
            <v>-292.86858999999998</v>
          </cell>
          <cell r="N75" t="str">
            <v>n/a</v>
          </cell>
          <cell r="O75">
            <v>115.61897999999997</v>
          </cell>
          <cell r="P75">
            <v>-0.39388402612439599</v>
          </cell>
          <cell r="Q75" t="e">
            <v>#REF!</v>
          </cell>
          <cell r="R75" t="str">
            <v>n/a</v>
          </cell>
        </row>
        <row r="76">
          <cell r="C76">
            <v>39.024589999999982</v>
          </cell>
          <cell r="D76">
            <v>8.0659399999999994</v>
          </cell>
          <cell r="E76">
            <v>-30.958649999999984</v>
          </cell>
          <cell r="G76">
            <v>478.96373999999997</v>
          </cell>
          <cell r="H76">
            <v>77.73518</v>
          </cell>
          <cell r="I76">
            <v>-401.22855999999996</v>
          </cell>
          <cell r="K76">
            <v>30.958649999999984</v>
          </cell>
          <cell r="L76">
            <v>-0.79331134548755022</v>
          </cell>
          <cell r="M76">
            <v>-470.89779999999996</v>
          </cell>
          <cell r="N76" t="str">
            <v>n/a</v>
          </cell>
          <cell r="O76">
            <v>401.22855999999996</v>
          </cell>
          <cell r="P76">
            <v>-0.83770132578303313</v>
          </cell>
          <cell r="Q76" t="e">
            <v>#REF!</v>
          </cell>
          <cell r="R76" t="str">
            <v>n/a</v>
          </cell>
        </row>
        <row r="77">
          <cell r="C77">
            <v>0</v>
          </cell>
          <cell r="D77">
            <v>0.1</v>
          </cell>
          <cell r="E77">
            <v>0.1</v>
          </cell>
          <cell r="G77">
            <v>8</v>
          </cell>
          <cell r="H77">
            <v>0.4</v>
          </cell>
          <cell r="I77">
            <v>-7.6</v>
          </cell>
          <cell r="K77">
            <v>-0.1</v>
          </cell>
          <cell r="L77" t="str">
            <v>n/a</v>
          </cell>
          <cell r="M77">
            <v>-7.9</v>
          </cell>
          <cell r="N77" t="str">
            <v>n/a</v>
          </cell>
          <cell r="O77">
            <v>7.6</v>
          </cell>
          <cell r="P77">
            <v>-0.95</v>
          </cell>
          <cell r="Q77" t="e">
            <v>#REF!</v>
          </cell>
          <cell r="R77" t="str">
            <v>n/a</v>
          </cell>
        </row>
        <row r="78">
          <cell r="C78">
            <v>0</v>
          </cell>
          <cell r="D78">
            <v>2.5760000000000001</v>
          </cell>
          <cell r="E78">
            <v>2.5760000000000001</v>
          </cell>
          <cell r="G78">
            <v>3.8408099999999998</v>
          </cell>
          <cell r="H78">
            <v>103.88800000000001</v>
          </cell>
          <cell r="I78">
            <v>100.04719</v>
          </cell>
          <cell r="K78">
            <v>-2.5760000000000001</v>
          </cell>
          <cell r="L78" t="str">
            <v>n/a</v>
          </cell>
          <cell r="M78">
            <v>-1.2648099999999998</v>
          </cell>
          <cell r="N78">
            <v>0.49099767080745327</v>
          </cell>
          <cell r="O78">
            <v>-100.04719</v>
          </cell>
          <cell r="P78" t="str">
            <v>n/a</v>
          </cell>
          <cell r="Q78" t="e">
            <v>#REF!</v>
          </cell>
          <cell r="R78" t="str">
            <v>n/a</v>
          </cell>
        </row>
        <row r="79">
          <cell r="C79">
            <v>0</v>
          </cell>
          <cell r="D79">
            <v>5</v>
          </cell>
          <cell r="E79">
            <v>5</v>
          </cell>
          <cell r="G79">
            <v>0</v>
          </cell>
          <cell r="H79">
            <v>20</v>
          </cell>
          <cell r="I79">
            <v>20</v>
          </cell>
          <cell r="K79">
            <v>-5</v>
          </cell>
          <cell r="L79" t="str">
            <v>n/a</v>
          </cell>
          <cell r="M79">
            <v>5</v>
          </cell>
          <cell r="N79">
            <v>-1</v>
          </cell>
          <cell r="O79">
            <v>-20</v>
          </cell>
          <cell r="P79" t="str">
            <v>n/a</v>
          </cell>
          <cell r="Q79" t="e">
            <v>#REF!</v>
          </cell>
          <cell r="R79" t="str">
            <v>n/a</v>
          </cell>
        </row>
        <row r="80">
          <cell r="C80">
            <v>0</v>
          </cell>
          <cell r="D80">
            <v>-0.56899999999999995</v>
          </cell>
          <cell r="E80">
            <v>-0.56899999999999995</v>
          </cell>
          <cell r="G80">
            <v>329.54303000000004</v>
          </cell>
          <cell r="H80">
            <v>60.988759999999999</v>
          </cell>
          <cell r="I80">
            <v>-268.55427000000003</v>
          </cell>
          <cell r="K80">
            <v>0.56899999999999995</v>
          </cell>
          <cell r="L80" t="str">
            <v>n/a</v>
          </cell>
          <cell r="M80">
            <v>-330.11203000000006</v>
          </cell>
          <cell r="N80" t="str">
            <v>n/a</v>
          </cell>
          <cell r="O80">
            <v>268.55427000000003</v>
          </cell>
          <cell r="P80">
            <v>-0.81492929770051581</v>
          </cell>
          <cell r="Q80" t="e">
            <v>#REF!</v>
          </cell>
          <cell r="R80" t="str">
            <v>n/a</v>
          </cell>
        </row>
        <row r="81">
          <cell r="C81">
            <v>0</v>
          </cell>
          <cell r="D81">
            <v>0</v>
          </cell>
          <cell r="E81">
            <v>0</v>
          </cell>
          <cell r="G81">
            <v>0</v>
          </cell>
          <cell r="H81">
            <v>0</v>
          </cell>
          <cell r="I81">
            <v>0</v>
          </cell>
          <cell r="K81">
            <v>0</v>
          </cell>
          <cell r="L81" t="str">
            <v>n/a</v>
          </cell>
          <cell r="M81">
            <v>0</v>
          </cell>
          <cell r="N81" t="str">
            <v>n/a</v>
          </cell>
          <cell r="O81">
            <v>0</v>
          </cell>
          <cell r="P81" t="str">
            <v>n/a</v>
          </cell>
          <cell r="Q81" t="e">
            <v>#REF!</v>
          </cell>
          <cell r="R81" t="str">
            <v>n/a</v>
          </cell>
        </row>
        <row r="82">
          <cell r="C82">
            <v>124.23541000000002</v>
          </cell>
          <cell r="D82">
            <v>67.556098888888883</v>
          </cell>
          <cell r="E82">
            <v>-56.679311111111133</v>
          </cell>
          <cell r="G82">
            <v>2013.6424899999995</v>
          </cell>
          <cell r="H82">
            <v>889.00042555555524</v>
          </cell>
          <cell r="I82">
            <v>-1124.6420644444443</v>
          </cell>
          <cell r="K82">
            <v>56.679311111111133</v>
          </cell>
          <cell r="L82">
            <v>-0.45622509002152545</v>
          </cell>
          <cell r="M82">
            <v>-1946.0863911111105</v>
          </cell>
          <cell r="N82" t="str">
            <v>n/a</v>
          </cell>
          <cell r="O82">
            <v>1124.6420644444443</v>
          </cell>
          <cell r="P82">
            <v>-0.5585112898786937</v>
          </cell>
          <cell r="Q82" t="e">
            <v>#REF!</v>
          </cell>
          <cell r="R82" t="str">
            <v>n/a</v>
          </cell>
        </row>
        <row r="83">
          <cell r="C83">
            <v>252.43680000000001</v>
          </cell>
          <cell r="D83">
            <v>151.09559444444443</v>
          </cell>
          <cell r="E83">
            <v>-101.34120555555558</v>
          </cell>
          <cell r="G83">
            <v>3362.2542199999998</v>
          </cell>
          <cell r="H83">
            <v>1590.6364777777776</v>
          </cell>
          <cell r="I83">
            <v>-1771.6177422222222</v>
          </cell>
          <cell r="K83">
            <v>101.34120555555558</v>
          </cell>
          <cell r="L83">
            <v>-0.40145179132184994</v>
          </cell>
          <cell r="M83">
            <v>-3211.1586255555553</v>
          </cell>
          <cell r="N83" t="str">
            <v>n/a</v>
          </cell>
          <cell r="O83">
            <v>1771.6177422222222</v>
          </cell>
          <cell r="P83">
            <v>-0.52691367942493716</v>
          </cell>
          <cell r="Q83" t="e">
            <v>#REF!</v>
          </cell>
          <cell r="R83" t="str">
            <v>n/a</v>
          </cell>
        </row>
        <row r="85">
          <cell r="C85">
            <v>164.99999</v>
          </cell>
          <cell r="D85">
            <v>178.7499999999998</v>
          </cell>
          <cell r="E85">
            <v>13.750009999999804</v>
          </cell>
          <cell r="G85">
            <v>680</v>
          </cell>
          <cell r="H85">
            <v>814.99999999999943</v>
          </cell>
          <cell r="I85">
            <v>134.99999999999943</v>
          </cell>
          <cell r="K85">
            <v>-13.750009999999804</v>
          </cell>
          <cell r="L85">
            <v>8.3333398989901886E-2</v>
          </cell>
          <cell r="M85">
            <v>-501.25000000000023</v>
          </cell>
          <cell r="N85">
            <v>2.8041958041958086</v>
          </cell>
          <cell r="O85">
            <v>-134.99999999999943</v>
          </cell>
          <cell r="P85">
            <v>0.19852941176470495</v>
          </cell>
          <cell r="Q85" t="e">
            <v>#REF!</v>
          </cell>
          <cell r="R85" t="str">
            <v>n/a</v>
          </cell>
        </row>
        <row r="86">
          <cell r="C86">
            <v>15.741090000000002</v>
          </cell>
          <cell r="D86">
            <v>82.334000000000003</v>
          </cell>
          <cell r="E86">
            <v>66.592910000000003</v>
          </cell>
          <cell r="G86">
            <v>470.41996999999998</v>
          </cell>
          <cell r="H86">
            <v>698.52179999999998</v>
          </cell>
          <cell r="I86">
            <v>228.10183000000001</v>
          </cell>
          <cell r="K86">
            <v>-66.592910000000003</v>
          </cell>
          <cell r="L86">
            <v>4.230514532348141</v>
          </cell>
          <cell r="M86">
            <v>-388.08596999999997</v>
          </cell>
          <cell r="N86">
            <v>4.7135566108776441</v>
          </cell>
          <cell r="O86">
            <v>-228.10183000000001</v>
          </cell>
          <cell r="P86">
            <v>0.48488976775369474</v>
          </cell>
          <cell r="Q86" t="e">
            <v>#REF!</v>
          </cell>
          <cell r="R86" t="str">
            <v>n/a</v>
          </cell>
        </row>
        <row r="87">
          <cell r="C87">
            <v>0.5</v>
          </cell>
          <cell r="D87">
            <v>0</v>
          </cell>
          <cell r="E87">
            <v>-0.5</v>
          </cell>
          <cell r="G87">
            <v>0.5</v>
          </cell>
          <cell r="H87">
            <v>0</v>
          </cell>
          <cell r="I87">
            <v>-0.5</v>
          </cell>
          <cell r="K87">
            <v>0.5</v>
          </cell>
          <cell r="L87">
            <v>-1</v>
          </cell>
          <cell r="M87">
            <v>-0.5</v>
          </cell>
          <cell r="N87" t="str">
            <v>n/a</v>
          </cell>
          <cell r="O87">
            <v>0.5</v>
          </cell>
          <cell r="P87">
            <v>-1</v>
          </cell>
          <cell r="Q87" t="e">
            <v>#REF!</v>
          </cell>
          <cell r="R87" t="str">
            <v>n/a</v>
          </cell>
        </row>
        <row r="88">
          <cell r="C88">
            <v>95.786299999999983</v>
          </cell>
          <cell r="D88">
            <v>25.562468888888866</v>
          </cell>
          <cell r="E88">
            <v>-70.22383111111111</v>
          </cell>
          <cell r="G88">
            <v>1084.5470199999988</v>
          </cell>
          <cell r="H88">
            <v>404.98758555555548</v>
          </cell>
          <cell r="I88">
            <v>-679.55943444444335</v>
          </cell>
          <cell r="K88">
            <v>70.22383111111111</v>
          </cell>
          <cell r="L88">
            <v>-0.73313021915567389</v>
          </cell>
          <cell r="M88">
            <v>-1058.98455111111</v>
          </cell>
          <cell r="N88" t="str">
            <v>n/a</v>
          </cell>
          <cell r="O88">
            <v>679.55943444444335</v>
          </cell>
          <cell r="P88">
            <v>-0.62658365374001401</v>
          </cell>
          <cell r="Q88" t="e">
            <v>#REF!</v>
          </cell>
          <cell r="R88" t="str">
            <v>n/a</v>
          </cell>
        </row>
        <row r="89">
          <cell r="C89">
            <v>48.53154</v>
          </cell>
          <cell r="D89">
            <v>103.90841</v>
          </cell>
          <cell r="E89">
            <v>55.376870000000004</v>
          </cell>
          <cell r="G89">
            <v>408.84060999999986</v>
          </cell>
          <cell r="H89">
            <v>408.92812000000004</v>
          </cell>
          <cell r="I89">
            <v>8.7510000000179389E-2</v>
          </cell>
          <cell r="K89">
            <v>-55.376870000000004</v>
          </cell>
          <cell r="L89">
            <v>1.1410490992043525</v>
          </cell>
          <cell r="M89">
            <v>-304.93219999999985</v>
          </cell>
          <cell r="N89">
            <v>2.9346248296937643</v>
          </cell>
          <cell r="O89">
            <v>-8.7510000000179389E-2</v>
          </cell>
          <cell r="P89">
            <v>2.1404429467075659E-4</v>
          </cell>
          <cell r="Q89" t="e">
            <v>#REF!</v>
          </cell>
          <cell r="R89" t="str">
            <v>n/a</v>
          </cell>
        </row>
        <row r="90">
          <cell r="C90">
            <v>0</v>
          </cell>
          <cell r="D90">
            <v>1</v>
          </cell>
          <cell r="E90">
            <v>1</v>
          </cell>
          <cell r="G90">
            <v>3.4037299999999999</v>
          </cell>
          <cell r="H90">
            <v>7.4037299999999995</v>
          </cell>
          <cell r="I90">
            <v>3.9999999999999996</v>
          </cell>
          <cell r="K90">
            <v>-1</v>
          </cell>
          <cell r="L90" t="str">
            <v>n/a</v>
          </cell>
          <cell r="M90">
            <v>-2.4037299999999999</v>
          </cell>
          <cell r="N90">
            <v>2.4037299999999999</v>
          </cell>
          <cell r="O90">
            <v>-3.9999999999999996</v>
          </cell>
          <cell r="P90">
            <v>1.1751813451713264</v>
          </cell>
          <cell r="Q90" t="e">
            <v>#REF!</v>
          </cell>
          <cell r="R90" t="str">
            <v>n/a</v>
          </cell>
        </row>
        <row r="91">
          <cell r="C91">
            <v>18.622229999999998</v>
          </cell>
          <cell r="D91">
            <v>0</v>
          </cell>
          <cell r="E91">
            <v>-18.622229999999998</v>
          </cell>
          <cell r="G91">
            <v>273.33936000000006</v>
          </cell>
          <cell r="H91">
            <v>130.04017999999999</v>
          </cell>
          <cell r="I91">
            <v>-143.29918000000006</v>
          </cell>
          <cell r="K91">
            <v>18.622229999999998</v>
          </cell>
          <cell r="L91">
            <v>-1</v>
          </cell>
          <cell r="M91">
            <v>-273.33936000000006</v>
          </cell>
          <cell r="N91" t="str">
            <v>n/a</v>
          </cell>
          <cell r="O91">
            <v>143.29918000000006</v>
          </cell>
          <cell r="P91">
            <v>-0.52425373352743643</v>
          </cell>
          <cell r="Q91" t="e">
            <v>#REF!</v>
          </cell>
          <cell r="R91" t="str">
            <v>n/a</v>
          </cell>
        </row>
        <row r="92">
          <cell r="C92">
            <v>31.544709999999998</v>
          </cell>
          <cell r="D92">
            <v>5.6310701293648599E-25</v>
          </cell>
          <cell r="E92">
            <v>-31.544709999999998</v>
          </cell>
          <cell r="G92">
            <v>86.71932000000001</v>
          </cell>
          <cell r="H92">
            <v>27.929209999999998</v>
          </cell>
          <cell r="I92">
            <v>-58.790110000000013</v>
          </cell>
          <cell r="K92">
            <v>31.544709999999998</v>
          </cell>
          <cell r="L92">
            <v>-1</v>
          </cell>
          <cell r="M92">
            <v>-86.71932000000001</v>
          </cell>
          <cell r="N92" t="str">
            <v>n/a</v>
          </cell>
          <cell r="O92">
            <v>58.790110000000013</v>
          </cell>
          <cell r="P92">
            <v>-0.67793555115515214</v>
          </cell>
          <cell r="Q92" t="e">
            <v>#REF!</v>
          </cell>
          <cell r="R92" t="str">
            <v>n/a</v>
          </cell>
        </row>
        <row r="93">
          <cell r="C93">
            <v>47.259810000000009</v>
          </cell>
          <cell r="D93">
            <v>63.065618888888842</v>
          </cell>
          <cell r="E93">
            <v>15.805808888888834</v>
          </cell>
          <cell r="G93">
            <v>651.56273999999974</v>
          </cell>
          <cell r="H93">
            <v>474.12909555555552</v>
          </cell>
          <cell r="I93">
            <v>-177.43364444444421</v>
          </cell>
          <cell r="K93">
            <v>-15.805808888888834</v>
          </cell>
          <cell r="L93">
            <v>0.33444503667892089</v>
          </cell>
          <cell r="M93">
            <v>-588.49712111111091</v>
          </cell>
          <cell r="N93">
            <v>9.3315047323636868</v>
          </cell>
          <cell r="O93">
            <v>177.43364444444421</v>
          </cell>
          <cell r="P93">
            <v>-0.27232012138147166</v>
          </cell>
          <cell r="Q93" t="e">
            <v>#REF!</v>
          </cell>
          <cell r="R93" t="str">
            <v>n/a</v>
          </cell>
        </row>
        <row r="94">
          <cell r="C94">
            <v>33.851559999999999</v>
          </cell>
          <cell r="D94">
            <v>47.287999999999847</v>
          </cell>
          <cell r="E94">
            <v>13.436439999999848</v>
          </cell>
          <cell r="G94">
            <v>600.80844999999977</v>
          </cell>
          <cell r="H94">
            <v>613.59609999999952</v>
          </cell>
          <cell r="I94">
            <v>12.787649999999758</v>
          </cell>
          <cell r="K94">
            <v>-13.436439999999848</v>
          </cell>
          <cell r="L94">
            <v>0.39692232795179461</v>
          </cell>
          <cell r="M94">
            <v>-553.52044999999987</v>
          </cell>
          <cell r="N94" t="str">
            <v>n/a</v>
          </cell>
          <cell r="O94">
            <v>-12.787649999999758</v>
          </cell>
          <cell r="P94">
            <v>2.1284071487343015E-2</v>
          </cell>
          <cell r="Q94" t="e">
            <v>#REF!</v>
          </cell>
          <cell r="R94" t="str">
            <v>n/a</v>
          </cell>
        </row>
        <row r="95">
          <cell r="C95">
            <v>0.70150999999999997</v>
          </cell>
          <cell r="D95">
            <v>1.4968555555555598</v>
          </cell>
          <cell r="E95">
            <v>0.79534555555555986</v>
          </cell>
          <cell r="G95">
            <v>367.17209000000003</v>
          </cell>
          <cell r="H95">
            <v>318.19985222222226</v>
          </cell>
          <cell r="I95">
            <v>-48.972237777777764</v>
          </cell>
          <cell r="K95">
            <v>-0.79534555555555986</v>
          </cell>
          <cell r="L95">
            <v>1.1337622493700161</v>
          </cell>
          <cell r="M95">
            <v>-365.67523444444447</v>
          </cell>
          <cell r="N95" t="str">
            <v>n/a</v>
          </cell>
          <cell r="O95">
            <v>48.972237777777764</v>
          </cell>
          <cell r="P95">
            <v>-0.13337679826856597</v>
          </cell>
          <cell r="Q95" t="e">
            <v>#REF!</v>
          </cell>
          <cell r="R95" t="str">
            <v>n/a</v>
          </cell>
        </row>
        <row r="96">
          <cell r="C96">
            <v>136.39919999999998</v>
          </cell>
          <cell r="D96">
            <v>169.50599000000003</v>
          </cell>
          <cell r="E96">
            <v>33.106790000000046</v>
          </cell>
          <cell r="G96">
            <v>577.40630000000021</v>
          </cell>
          <cell r="H96">
            <v>678.5104</v>
          </cell>
          <cell r="I96">
            <v>101.10409999999979</v>
          </cell>
          <cell r="K96">
            <v>-33.106790000000046</v>
          </cell>
          <cell r="L96">
            <v>0.24271982533621927</v>
          </cell>
          <cell r="M96">
            <v>-407.90031000000022</v>
          </cell>
          <cell r="N96">
            <v>2.4064064638659679</v>
          </cell>
          <cell r="O96">
            <v>-101.10409999999979</v>
          </cell>
          <cell r="P96">
            <v>0.17510044486871679</v>
          </cell>
          <cell r="Q96" t="e">
            <v>#REF!</v>
          </cell>
          <cell r="R96" t="str">
            <v>n/a</v>
          </cell>
        </row>
        <row r="97">
          <cell r="C97">
            <v>8.6621999999999968</v>
          </cell>
          <cell r="D97">
            <v>20.539770000000001</v>
          </cell>
          <cell r="E97">
            <v>11.877570000000004</v>
          </cell>
          <cell r="G97">
            <v>74.528900000000007</v>
          </cell>
          <cell r="H97">
            <v>83.533290000000022</v>
          </cell>
          <cell r="I97">
            <v>9.004390000000015</v>
          </cell>
          <cell r="K97">
            <v>-11.877570000000004</v>
          </cell>
          <cell r="L97">
            <v>1.371195539239455</v>
          </cell>
          <cell r="M97">
            <v>-53.989130000000003</v>
          </cell>
          <cell r="N97">
            <v>2.6285167750174421</v>
          </cell>
          <cell r="O97">
            <v>-9.004390000000015</v>
          </cell>
          <cell r="P97">
            <v>0.12081742787026251</v>
          </cell>
          <cell r="Q97" t="e">
            <v>#REF!</v>
          </cell>
          <cell r="R97" t="str">
            <v>n/a</v>
          </cell>
        </row>
        <row r="98">
          <cell r="C98">
            <v>6.2205300000000001</v>
          </cell>
          <cell r="D98">
            <v>13.28544444444444</v>
          </cell>
          <cell r="E98">
            <v>7.0649144444444403</v>
          </cell>
          <cell r="G98">
            <v>12.438649999999999</v>
          </cell>
          <cell r="H98">
            <v>53.141777777777762</v>
          </cell>
          <cell r="I98">
            <v>40.703127777777766</v>
          </cell>
          <cell r="K98">
            <v>-7.0649144444444403</v>
          </cell>
          <cell r="L98">
            <v>1.1357415597134715</v>
          </cell>
          <cell r="M98">
            <v>0.8467944444444413</v>
          </cell>
          <cell r="N98">
            <v>-6.3738510818021177E-2</v>
          </cell>
          <cell r="O98">
            <v>-40.703127777777766</v>
          </cell>
          <cell r="P98">
            <v>3.2723107232519419</v>
          </cell>
          <cell r="Q98" t="e">
            <v>#REF!</v>
          </cell>
          <cell r="R98" t="str">
            <v>n/a</v>
          </cell>
        </row>
        <row r="99">
          <cell r="C99">
            <v>14.229580000000002</v>
          </cell>
          <cell r="D99">
            <v>25</v>
          </cell>
          <cell r="E99">
            <v>10.770419999999998</v>
          </cell>
          <cell r="G99">
            <v>28.443649999999998</v>
          </cell>
          <cell r="H99">
            <v>100</v>
          </cell>
          <cell r="I99">
            <v>71.556350000000009</v>
          </cell>
          <cell r="K99">
            <v>-10.770419999999998</v>
          </cell>
          <cell r="L99">
            <v>0.75690357691512999</v>
          </cell>
          <cell r="M99">
            <v>-3.4436499999999981</v>
          </cell>
          <cell r="N99">
            <v>0.13774599999999992</v>
          </cell>
          <cell r="O99">
            <v>-71.556350000000009</v>
          </cell>
          <cell r="P99">
            <v>2.5157231930501185</v>
          </cell>
          <cell r="Q99" t="e">
            <v>#REF!</v>
          </cell>
          <cell r="R99" t="str">
            <v>n/a</v>
          </cell>
        </row>
        <row r="100">
          <cell r="C100">
            <v>0</v>
          </cell>
          <cell r="D100">
            <v>2</v>
          </cell>
          <cell r="E100">
            <v>2</v>
          </cell>
          <cell r="G100">
            <v>0</v>
          </cell>
          <cell r="H100">
            <v>8</v>
          </cell>
          <cell r="I100">
            <v>8</v>
          </cell>
          <cell r="K100">
            <v>-2</v>
          </cell>
          <cell r="L100" t="str">
            <v>n/a</v>
          </cell>
          <cell r="M100">
            <v>2</v>
          </cell>
          <cell r="N100">
            <v>-1</v>
          </cell>
          <cell r="O100">
            <v>-8</v>
          </cell>
          <cell r="P100" t="str">
            <v>n/a</v>
          </cell>
          <cell r="Q100" t="e">
            <v>#REF!</v>
          </cell>
          <cell r="R100" t="str">
            <v>n/a</v>
          </cell>
        </row>
        <row r="101">
          <cell r="C101">
            <v>11.513220000000004</v>
          </cell>
          <cell r="D101">
            <v>24.495532222222224</v>
          </cell>
          <cell r="E101">
            <v>12.98231222222222</v>
          </cell>
          <cell r="G101">
            <v>215.04235999999997</v>
          </cell>
          <cell r="H101">
            <v>161.86802888888877</v>
          </cell>
          <cell r="I101">
            <v>-53.174331111111201</v>
          </cell>
          <cell r="K101">
            <v>-12.98231222222222</v>
          </cell>
          <cell r="L101">
            <v>1.1276004647025086</v>
          </cell>
          <cell r="M101">
            <v>-190.54682777777776</v>
          </cell>
          <cell r="N101">
            <v>7.778840077820993</v>
          </cell>
          <cell r="O101">
            <v>53.174331111111201</v>
          </cell>
          <cell r="P101">
            <v>-0.24727375160461973</v>
          </cell>
          <cell r="Q101" t="e">
            <v>#REF!</v>
          </cell>
          <cell r="R101" t="str">
            <v>n/a</v>
          </cell>
        </row>
        <row r="102">
          <cell r="C102">
            <v>5.6630000000000003</v>
          </cell>
          <cell r="D102">
            <v>4.5522800000000005</v>
          </cell>
          <cell r="E102">
            <v>-1.1107199999999997</v>
          </cell>
          <cell r="G102">
            <v>81.573650000000001</v>
          </cell>
          <cell r="H102">
            <v>30.395389999999999</v>
          </cell>
          <cell r="I102">
            <v>-51.178260000000002</v>
          </cell>
          <cell r="K102">
            <v>1.1107199999999997</v>
          </cell>
          <cell r="L102">
            <v>-0.19613632350344334</v>
          </cell>
          <cell r="M102">
            <v>-77.021370000000005</v>
          </cell>
          <cell r="N102" t="str">
            <v>n/a</v>
          </cell>
          <cell r="O102">
            <v>51.178260000000002</v>
          </cell>
          <cell r="P102">
            <v>-0.62738715259155375</v>
          </cell>
          <cell r="Q102" t="e">
            <v>#REF!</v>
          </cell>
          <cell r="R102" t="str">
            <v>n/a</v>
          </cell>
        </row>
        <row r="103">
          <cell r="C103">
            <v>0.11383</v>
          </cell>
          <cell r="D103">
            <v>1.6845755555555555</v>
          </cell>
          <cell r="E103">
            <v>1.5707455555555554</v>
          </cell>
          <cell r="G103">
            <v>124.44388000000002</v>
          </cell>
          <cell r="H103">
            <v>129.84687222222217</v>
          </cell>
          <cell r="I103">
            <v>5.4029922222221529</v>
          </cell>
          <cell r="K103">
            <v>-1.5707455555555554</v>
          </cell>
          <cell r="L103" t="str">
            <v>n/a</v>
          </cell>
          <cell r="M103">
            <v>-122.75930444444447</v>
          </cell>
          <cell r="N103" t="str">
            <v>n/a</v>
          </cell>
          <cell r="O103">
            <v>-5.4029922222221529</v>
          </cell>
          <cell r="P103">
            <v>4.3417098713268709E-2</v>
          </cell>
          <cell r="Q103" t="e">
            <v>#REF!</v>
          </cell>
          <cell r="R103" t="str">
            <v>n/a</v>
          </cell>
        </row>
        <row r="104">
          <cell r="C104">
            <v>0</v>
          </cell>
          <cell r="D104">
            <v>0</v>
          </cell>
          <cell r="E104">
            <v>0</v>
          </cell>
          <cell r="G104">
            <v>0</v>
          </cell>
          <cell r="H104">
            <v>0</v>
          </cell>
          <cell r="I104">
            <v>0</v>
          </cell>
          <cell r="K104">
            <v>0</v>
          </cell>
          <cell r="L104" t="str">
            <v>n/a</v>
          </cell>
          <cell r="M104">
            <v>0</v>
          </cell>
          <cell r="N104" t="str">
            <v>n/a</v>
          </cell>
          <cell r="O104">
            <v>0</v>
          </cell>
          <cell r="P104" t="str">
            <v>n/a</v>
          </cell>
          <cell r="Q104" t="e">
            <v>#REF!</v>
          </cell>
          <cell r="R104" t="str">
            <v>n/a</v>
          </cell>
        </row>
        <row r="105">
          <cell r="C105">
            <v>0</v>
          </cell>
          <cell r="D105">
            <v>30.596888888888902</v>
          </cell>
          <cell r="E105">
            <v>30.596888888888902</v>
          </cell>
          <cell r="G105">
            <v>45.770330000000001</v>
          </cell>
          <cell r="H105">
            <v>154.52500555555559</v>
          </cell>
          <cell r="I105">
            <v>108.75467555555559</v>
          </cell>
          <cell r="K105">
            <v>-30.596888888888902</v>
          </cell>
          <cell r="L105" t="str">
            <v>n/a</v>
          </cell>
          <cell r="M105">
            <v>-15.173441111111099</v>
          </cell>
          <cell r="N105">
            <v>0.4959145083741261</v>
          </cell>
          <cell r="O105">
            <v>-108.75467555555559</v>
          </cell>
          <cell r="P105">
            <v>2.3760955089368068</v>
          </cell>
          <cell r="Q105" t="e">
            <v>#REF!</v>
          </cell>
          <cell r="R105" t="str">
            <v>n/a</v>
          </cell>
        </row>
        <row r="106">
          <cell r="C106">
            <v>13.057879999999999</v>
          </cell>
          <cell r="D106">
            <v>16.874999999999989</v>
          </cell>
          <cell r="E106">
            <v>3.8171199999999903</v>
          </cell>
          <cell r="G106">
            <v>45.959869999999988</v>
          </cell>
          <cell r="H106">
            <v>67.581329999999937</v>
          </cell>
          <cell r="I106">
            <v>21.621459999999949</v>
          </cell>
          <cell r="K106">
            <v>-3.8171199999999903</v>
          </cell>
          <cell r="L106">
            <v>0.29232310298455721</v>
          </cell>
          <cell r="M106">
            <v>-29.084869999999999</v>
          </cell>
          <cell r="N106">
            <v>1.723547851851853</v>
          </cell>
          <cell r="O106">
            <v>-21.621459999999949</v>
          </cell>
          <cell r="P106">
            <v>0.47044214877021973</v>
          </cell>
          <cell r="Q106" t="e">
            <v>#REF!</v>
          </cell>
          <cell r="R106" t="str">
            <v>n/a</v>
          </cell>
        </row>
        <row r="107">
          <cell r="C107">
            <v>5.4161500000000009</v>
          </cell>
          <cell r="D107">
            <v>15.931863333333332</v>
          </cell>
          <cell r="E107">
            <v>10.515713333333331</v>
          </cell>
          <cell r="G107">
            <v>38.859670000000008</v>
          </cell>
          <cell r="H107">
            <v>66.739263333333341</v>
          </cell>
          <cell r="I107">
            <v>27.879593333333332</v>
          </cell>
          <cell r="K107">
            <v>-10.515713333333331</v>
          </cell>
          <cell r="L107">
            <v>1.9415476553148139</v>
          </cell>
          <cell r="M107">
            <v>-22.927806666666676</v>
          </cell>
          <cell r="N107">
            <v>1.4391164540494223</v>
          </cell>
          <cell r="O107">
            <v>-27.879593333333332</v>
          </cell>
          <cell r="P107">
            <v>0.71744287415032937</v>
          </cell>
          <cell r="Q107" t="e">
            <v>#REF!</v>
          </cell>
          <cell r="R107" t="str">
            <v>n/a</v>
          </cell>
        </row>
        <row r="108">
          <cell r="C108">
            <v>9.6000000000000002E-2</v>
          </cell>
          <cell r="D108">
            <v>2.0453999999999999</v>
          </cell>
          <cell r="E108">
            <v>1.9493999999999998</v>
          </cell>
          <cell r="G108">
            <v>1.0005500000000001</v>
          </cell>
          <cell r="H108">
            <v>8.8386899999999979</v>
          </cell>
          <cell r="I108">
            <v>7.8381399999999974</v>
          </cell>
          <cell r="K108">
            <v>-1.9493999999999998</v>
          </cell>
          <cell r="L108" t="str">
            <v>n/a</v>
          </cell>
          <cell r="M108">
            <v>1.0448499999999998</v>
          </cell>
          <cell r="N108">
            <v>-0.51082917766696001</v>
          </cell>
          <cell r="O108">
            <v>-7.8381399999999974</v>
          </cell>
          <cell r="P108">
            <v>7.8338313927339946</v>
          </cell>
          <cell r="Q108" t="e">
            <v>#REF!</v>
          </cell>
          <cell r="R108" t="str">
            <v>n/a</v>
          </cell>
        </row>
        <row r="109">
          <cell r="C109">
            <v>-12.088999999999999</v>
          </cell>
          <cell r="D109">
            <v>3.7769999999999975</v>
          </cell>
          <cell r="E109">
            <v>15.865999999999996</v>
          </cell>
          <cell r="G109">
            <v>10.204359999999999</v>
          </cell>
          <cell r="H109">
            <v>19.846229999999984</v>
          </cell>
          <cell r="I109">
            <v>9.6418699999999848</v>
          </cell>
          <cell r="K109">
            <v>-15.865999999999996</v>
          </cell>
          <cell r="L109">
            <v>-1.3124327901397963</v>
          </cell>
          <cell r="M109">
            <v>-6.427360000000002</v>
          </cell>
          <cell r="N109">
            <v>1.7017103521313226</v>
          </cell>
          <cell r="O109">
            <v>-9.6418699999999848</v>
          </cell>
          <cell r="P109">
            <v>0.94487748374224201</v>
          </cell>
          <cell r="Q109" t="e">
            <v>#REF!</v>
          </cell>
          <cell r="R109" t="str">
            <v>n/a</v>
          </cell>
        </row>
        <row r="110">
          <cell r="C110">
            <v>0</v>
          </cell>
          <cell r="D110">
            <v>0</v>
          </cell>
          <cell r="E110">
            <v>0</v>
          </cell>
          <cell r="G110">
            <v>0</v>
          </cell>
          <cell r="H110">
            <v>0</v>
          </cell>
          <cell r="I110">
            <v>0</v>
          </cell>
          <cell r="K110">
            <v>0</v>
          </cell>
          <cell r="L110" t="str">
            <v>n/a</v>
          </cell>
          <cell r="M110">
            <v>0</v>
          </cell>
          <cell r="N110" t="str">
            <v>n/a</v>
          </cell>
          <cell r="O110">
            <v>0</v>
          </cell>
          <cell r="P110" t="str">
            <v>n/a</v>
          </cell>
          <cell r="Q110" t="e">
            <v>#REF!</v>
          </cell>
          <cell r="R110" t="str">
            <v>n/a</v>
          </cell>
        </row>
        <row r="111">
          <cell r="C111">
            <v>0</v>
          </cell>
          <cell r="D111">
            <v>0</v>
          </cell>
          <cell r="E111">
            <v>0</v>
          </cell>
          <cell r="G111">
            <v>42.942039999999992</v>
          </cell>
          <cell r="H111">
            <v>42.942039999999992</v>
          </cell>
          <cell r="I111">
            <v>0</v>
          </cell>
          <cell r="K111">
            <v>0</v>
          </cell>
          <cell r="L111" t="str">
            <v>n/a</v>
          </cell>
          <cell r="M111">
            <v>-42.942039999999992</v>
          </cell>
          <cell r="N111" t="str">
            <v>n/a</v>
          </cell>
          <cell r="O111">
            <v>0</v>
          </cell>
          <cell r="P111">
            <v>0</v>
          </cell>
          <cell r="Q111" t="e">
            <v>#REF!</v>
          </cell>
          <cell r="R111" t="str">
            <v>n/a</v>
          </cell>
        </row>
        <row r="112">
          <cell r="C112">
            <v>0</v>
          </cell>
          <cell r="D112">
            <v>0</v>
          </cell>
          <cell r="E112">
            <v>0</v>
          </cell>
          <cell r="G112">
            <v>0</v>
          </cell>
          <cell r="H112">
            <v>0</v>
          </cell>
          <cell r="I112">
            <v>0</v>
          </cell>
          <cell r="K112">
            <v>0</v>
          </cell>
          <cell r="L112" t="str">
            <v>n/a</v>
          </cell>
          <cell r="M112">
            <v>0</v>
          </cell>
          <cell r="N112" t="str">
            <v>n/a</v>
          </cell>
          <cell r="O112">
            <v>0</v>
          </cell>
          <cell r="P112" t="str">
            <v>n/a</v>
          </cell>
          <cell r="Q112" t="e">
            <v>#REF!</v>
          </cell>
          <cell r="R112" t="str">
            <v>n/a</v>
          </cell>
        </row>
        <row r="113">
          <cell r="C113">
            <v>-1.7276199999999999</v>
          </cell>
          <cell r="D113">
            <v>14.440909999999977</v>
          </cell>
          <cell r="E113">
            <v>16.168529999999976</v>
          </cell>
          <cell r="G113">
            <v>-1.0263200000000001</v>
          </cell>
          <cell r="H113">
            <v>57.641249999999943</v>
          </cell>
          <cell r="I113">
            <v>58.667569999999941</v>
          </cell>
          <cell r="K113">
            <v>-16.168529999999976</v>
          </cell>
          <cell r="L113">
            <v>-9.3588462740648861</v>
          </cell>
          <cell r="M113">
            <v>15.467229999999978</v>
          </cell>
          <cell r="N113">
            <v>-1.0710703134359263</v>
          </cell>
          <cell r="O113">
            <v>-58.667569999999941</v>
          </cell>
          <cell r="P113" t="str">
            <v>n/a</v>
          </cell>
          <cell r="Q113" t="e">
            <v>#REF!</v>
          </cell>
          <cell r="R113" t="str">
            <v>n/a</v>
          </cell>
        </row>
        <row r="114">
          <cell r="C114">
            <v>0.90258000000000005</v>
          </cell>
          <cell r="D114">
            <v>0</v>
          </cell>
          <cell r="E114">
            <v>-0.90258000000000005</v>
          </cell>
          <cell r="G114">
            <v>0.90258000000000005</v>
          </cell>
          <cell r="H114">
            <v>0</v>
          </cell>
          <cell r="I114">
            <v>-0.90258000000000005</v>
          </cell>
          <cell r="K114">
            <v>0.90258000000000005</v>
          </cell>
          <cell r="L114">
            <v>-1</v>
          </cell>
          <cell r="M114">
            <v>-0.90258000000000005</v>
          </cell>
          <cell r="N114" t="str">
            <v>n/a</v>
          </cell>
          <cell r="O114">
            <v>0.90258000000000005</v>
          </cell>
          <cell r="P114">
            <v>-1</v>
          </cell>
          <cell r="Q114" t="e">
            <v>#REF!</v>
          </cell>
          <cell r="R114" t="str">
            <v>n/a</v>
          </cell>
        </row>
        <row r="115">
          <cell r="C115">
            <v>2.2837899999999998</v>
          </cell>
          <cell r="D115">
            <v>6.2598533333333304</v>
          </cell>
          <cell r="E115">
            <v>3.9760633333333306</v>
          </cell>
          <cell r="G115">
            <v>3.8634599999999999</v>
          </cell>
          <cell r="H115">
            <v>25.025183333333324</v>
          </cell>
          <cell r="I115">
            <v>21.161723333333324</v>
          </cell>
          <cell r="K115">
            <v>-3.9760633333333306</v>
          </cell>
          <cell r="L115">
            <v>1.7409934071579833</v>
          </cell>
          <cell r="M115">
            <v>2.3963933333333305</v>
          </cell>
          <cell r="N115">
            <v>-0.38281940577947482</v>
          </cell>
          <cell r="O115">
            <v>-21.161723333333324</v>
          </cell>
          <cell r="P115">
            <v>5.4774019488575849</v>
          </cell>
          <cell r="Q115" t="e">
            <v>#REF!</v>
          </cell>
          <cell r="R115" t="str">
            <v>n/a</v>
          </cell>
        </row>
        <row r="116">
          <cell r="C116">
            <v>-0.93947999999999954</v>
          </cell>
          <cell r="D116">
            <v>99.566417362821028</v>
          </cell>
          <cell r="E116">
            <v>100.50589736282103</v>
          </cell>
          <cell r="G116">
            <v>141.31356</v>
          </cell>
          <cell r="H116">
            <v>427.18448525309412</v>
          </cell>
          <cell r="I116">
            <v>285.87092525309413</v>
          </cell>
          <cell r="K116">
            <v>-100.50589736282103</v>
          </cell>
          <cell r="L116" t="str">
            <v>n/a</v>
          </cell>
          <cell r="M116">
            <v>-41.747142637178968</v>
          </cell>
          <cell r="N116">
            <v>0.41928939237666807</v>
          </cell>
          <cell r="O116">
            <v>-285.87092525309413</v>
          </cell>
          <cell r="P116">
            <v>2.0229546637498492</v>
          </cell>
          <cell r="Q116" t="e">
            <v>#REF!</v>
          </cell>
          <cell r="R116" t="str">
            <v>n/a</v>
          </cell>
        </row>
        <row r="117">
          <cell r="C117">
            <v>0.57582</v>
          </cell>
          <cell r="D117">
            <v>12.555379999999991</v>
          </cell>
          <cell r="E117">
            <v>11.97955999999999</v>
          </cell>
          <cell r="G117">
            <v>3.2766600000000006</v>
          </cell>
          <cell r="H117">
            <v>51.093889999999966</v>
          </cell>
          <cell r="I117">
            <v>47.817229999999967</v>
          </cell>
          <cell r="K117">
            <v>-11.97955999999999</v>
          </cell>
          <cell r="L117" t="str">
            <v>n/a</v>
          </cell>
          <cell r="M117">
            <v>9.2787199999999892</v>
          </cell>
          <cell r="N117">
            <v>-0.73902343059310005</v>
          </cell>
          <cell r="O117">
            <v>-47.817229999999967</v>
          </cell>
          <cell r="P117" t="str">
            <v>n/a</v>
          </cell>
          <cell r="Q117" t="e">
            <v>#REF!</v>
          </cell>
          <cell r="R117" t="str">
            <v>n/a</v>
          </cell>
        </row>
        <row r="118">
          <cell r="C118">
            <v>0</v>
          </cell>
          <cell r="D118">
            <v>8</v>
          </cell>
          <cell r="E118">
            <v>8</v>
          </cell>
          <cell r="G118">
            <v>0</v>
          </cell>
          <cell r="H118">
            <v>32</v>
          </cell>
          <cell r="I118">
            <v>32</v>
          </cell>
          <cell r="K118">
            <v>-8</v>
          </cell>
          <cell r="L118" t="str">
            <v>n/a</v>
          </cell>
          <cell r="M118">
            <v>8</v>
          </cell>
          <cell r="N118">
            <v>-1</v>
          </cell>
          <cell r="O118">
            <v>-32</v>
          </cell>
          <cell r="P118" t="str">
            <v>n/a</v>
          </cell>
          <cell r="Q118" t="e">
            <v>#REF!</v>
          </cell>
          <cell r="R118" t="str">
            <v>n/a</v>
          </cell>
        </row>
        <row r="119">
          <cell r="C119">
            <v>0</v>
          </cell>
          <cell r="D119">
            <v>711.44399999999996</v>
          </cell>
          <cell r="E119">
            <v>711.44399999999996</v>
          </cell>
          <cell r="G119">
            <v>0</v>
          </cell>
          <cell r="H119">
            <v>2845.7759999999998</v>
          </cell>
          <cell r="I119">
            <v>2845.7759999999998</v>
          </cell>
          <cell r="K119">
            <v>-711.44399999999996</v>
          </cell>
          <cell r="L119" t="str">
            <v>n/a</v>
          </cell>
          <cell r="M119">
            <v>711.44399999999996</v>
          </cell>
          <cell r="N119">
            <v>-1</v>
          </cell>
          <cell r="O119">
            <v>-2845.7759999999998</v>
          </cell>
          <cell r="P119" t="str">
            <v>n/a</v>
          </cell>
          <cell r="Q119" t="e">
            <v>#REF!</v>
          </cell>
          <cell r="R119" t="str">
            <v>n/a</v>
          </cell>
        </row>
        <row r="120">
          <cell r="C120">
            <v>72.090429999999998</v>
          </cell>
          <cell r="D120">
            <v>297.413294401889</v>
          </cell>
          <cell r="E120">
            <v>225.32286440188901</v>
          </cell>
          <cell r="G120">
            <v>144.66062000000005</v>
          </cell>
          <cell r="H120">
            <v>1740.938038528556</v>
          </cell>
          <cell r="I120">
            <v>1596.2774185285559</v>
          </cell>
          <cell r="K120">
            <v>-225.32286440188901</v>
          </cell>
          <cell r="L120">
            <v>3.1255586130071498</v>
          </cell>
          <cell r="M120">
            <v>152.75267440188895</v>
          </cell>
          <cell r="N120">
            <v>-0.51360405629842876</v>
          </cell>
          <cell r="O120">
            <v>-1596.2774185285559</v>
          </cell>
          <cell r="P120" t="str">
            <v>n/a</v>
          </cell>
          <cell r="Q120" t="e">
            <v>#REF!</v>
          </cell>
          <cell r="R120" t="str">
            <v>n/a</v>
          </cell>
        </row>
        <row r="121">
          <cell r="C121">
            <v>0</v>
          </cell>
          <cell r="D121">
            <v>0</v>
          </cell>
          <cell r="E121">
            <v>0</v>
          </cell>
          <cell r="G121">
            <v>0</v>
          </cell>
          <cell r="H121">
            <v>0</v>
          </cell>
          <cell r="I121">
            <v>0</v>
          </cell>
          <cell r="K121">
            <v>0</v>
          </cell>
          <cell r="L121" t="str">
            <v>n/a</v>
          </cell>
          <cell r="M121">
            <v>0</v>
          </cell>
          <cell r="N121" t="str">
            <v>n/a</v>
          </cell>
          <cell r="O121">
            <v>0</v>
          </cell>
          <cell r="P121" t="str">
            <v>n/a</v>
          </cell>
          <cell r="Q121" t="e">
            <v>#REF!</v>
          </cell>
          <cell r="R121" t="str">
            <v>n/a</v>
          </cell>
        </row>
        <row r="122">
          <cell r="C122">
            <v>720.0068500000001</v>
          </cell>
          <cell r="D122">
            <v>1983.3749528758203</v>
          </cell>
          <cell r="E122">
            <v>1263.3681028758201</v>
          </cell>
          <cell r="G122">
            <v>6218.9180600000027</v>
          </cell>
          <cell r="H122">
            <v>10684.16283822609</v>
          </cell>
          <cell r="I122">
            <v>4465.244778226087</v>
          </cell>
          <cell r="K122">
            <v>-1263.3681028758201</v>
          </cell>
          <cell r="L122">
            <v>1.7546612270089099</v>
          </cell>
          <cell r="M122">
            <v>-4235.5431071241819</v>
          </cell>
          <cell r="N122">
            <v>2.1355231399805676</v>
          </cell>
          <cell r="O122">
            <v>-4465.244778226087</v>
          </cell>
          <cell r="P122">
            <v>0.71800990705223811</v>
          </cell>
          <cell r="Q122" t="e">
            <v>#REF!</v>
          </cell>
          <cell r="R122" t="str">
            <v>n/a</v>
          </cell>
        </row>
        <row r="124">
          <cell r="C124">
            <v>3713.5106100000003</v>
          </cell>
          <cell r="D124">
            <v>5235.9772477714969</v>
          </cell>
          <cell r="E124">
            <v>1522.4666377714966</v>
          </cell>
          <cell r="G124">
            <v>25326.823089999998</v>
          </cell>
          <cell r="H124">
            <v>29535.055275945262</v>
          </cell>
          <cell r="I124">
            <v>4208.2321859452641</v>
          </cell>
          <cell r="K124">
            <v>-1522.4666377714966</v>
          </cell>
          <cell r="L124">
            <v>0.40998041951777187</v>
          </cell>
          <cell r="M124">
            <v>-20090.8458422285</v>
          </cell>
          <cell r="N124">
            <v>3.8370766127334566</v>
          </cell>
          <cell r="O124">
            <v>-4208.2321859452641</v>
          </cell>
          <cell r="P124">
            <v>0.16615712799789861</v>
          </cell>
          <cell r="Q124" t="e">
            <v>#REF!</v>
          </cell>
          <cell r="R124" t="str">
            <v>n/a</v>
          </cell>
        </row>
        <row r="126">
          <cell r="C126">
            <v>1.3275299999999999</v>
          </cell>
          <cell r="D126">
            <v>0</v>
          </cell>
          <cell r="E126">
            <v>-1.3275299999999999</v>
          </cell>
          <cell r="G126">
            <v>3.7092720000000003</v>
          </cell>
          <cell r="H126">
            <v>0</v>
          </cell>
          <cell r="I126">
            <v>-3.7092720000000003</v>
          </cell>
          <cell r="K126">
            <v>1.3275299999999999</v>
          </cell>
          <cell r="L126">
            <v>-1</v>
          </cell>
          <cell r="M126">
            <v>-3.7092720000000003</v>
          </cell>
          <cell r="N126" t="str">
            <v>n/a</v>
          </cell>
          <cell r="O126">
            <v>3.7092720000000003</v>
          </cell>
          <cell r="P126">
            <v>-1</v>
          </cell>
          <cell r="Q126" t="e">
            <v>#REF!</v>
          </cell>
          <cell r="R126" t="str">
            <v>n/a</v>
          </cell>
        </row>
        <row r="127">
          <cell r="C127">
            <v>43.776631399999999</v>
          </cell>
          <cell r="D127">
            <v>21.679304399999999</v>
          </cell>
          <cell r="E127">
            <v>-22.097327</v>
          </cell>
          <cell r="G127">
            <v>203.23464219999997</v>
          </cell>
          <cell r="H127">
            <v>86.079590999999979</v>
          </cell>
          <cell r="I127">
            <v>-117.15505119999999</v>
          </cell>
          <cell r="K127">
            <v>22.097327</v>
          </cell>
          <cell r="L127">
            <v>-0.50477449482328152</v>
          </cell>
          <cell r="M127">
            <v>-181.55533779999996</v>
          </cell>
          <cell r="N127">
            <v>8.3745923969774587</v>
          </cell>
          <cell r="O127">
            <v>117.15505119999999</v>
          </cell>
          <cell r="P127">
            <v>-0.57645217336869947</v>
          </cell>
          <cell r="Q127" t="e">
            <v>#REF!</v>
          </cell>
          <cell r="R127" t="str">
            <v>n/a</v>
          </cell>
        </row>
        <row r="128">
          <cell r="C128">
            <v>0</v>
          </cell>
          <cell r="D128">
            <v>0</v>
          </cell>
          <cell r="E128">
            <v>0</v>
          </cell>
          <cell r="G128">
            <v>0</v>
          </cell>
          <cell r="H128">
            <v>0</v>
          </cell>
          <cell r="I128">
            <v>0</v>
          </cell>
          <cell r="K128">
            <v>0</v>
          </cell>
          <cell r="L128" t="str">
            <v>n/a</v>
          </cell>
          <cell r="M128">
            <v>0</v>
          </cell>
          <cell r="N128" t="str">
            <v>n/a</v>
          </cell>
          <cell r="O128">
            <v>0</v>
          </cell>
          <cell r="P128" t="str">
            <v>n/a</v>
          </cell>
          <cell r="Q128" t="e">
            <v>#REF!</v>
          </cell>
          <cell r="R128" t="str">
            <v>n/a</v>
          </cell>
        </row>
        <row r="129">
          <cell r="C129">
            <v>1.2775455</v>
          </cell>
          <cell r="D129">
            <v>0</v>
          </cell>
          <cell r="E129">
            <v>-1.2775455</v>
          </cell>
          <cell r="G129">
            <v>2.528438</v>
          </cell>
          <cell r="H129">
            <v>0</v>
          </cell>
          <cell r="I129">
            <v>-2.528438</v>
          </cell>
          <cell r="K129">
            <v>1.2775455</v>
          </cell>
          <cell r="L129">
            <v>-1</v>
          </cell>
          <cell r="M129">
            <v>-2.528438</v>
          </cell>
          <cell r="N129" t="str">
            <v>n/a</v>
          </cell>
          <cell r="O129">
            <v>2.528438</v>
          </cell>
          <cell r="P129">
            <v>-1</v>
          </cell>
          <cell r="Q129" t="e">
            <v>#REF!</v>
          </cell>
          <cell r="R129" t="str">
            <v>n/a</v>
          </cell>
        </row>
        <row r="130">
          <cell r="C130">
            <v>0</v>
          </cell>
          <cell r="D130">
            <v>0</v>
          </cell>
          <cell r="E130">
            <v>0</v>
          </cell>
          <cell r="G130">
            <v>0</v>
          </cell>
          <cell r="H130">
            <v>0</v>
          </cell>
          <cell r="I130">
            <v>0</v>
          </cell>
          <cell r="K130">
            <v>0</v>
          </cell>
          <cell r="L130" t="str">
            <v>n/a</v>
          </cell>
          <cell r="M130">
            <v>0</v>
          </cell>
          <cell r="N130" t="str">
            <v>n/a</v>
          </cell>
          <cell r="O130">
            <v>0</v>
          </cell>
          <cell r="P130" t="str">
            <v>n/a</v>
          </cell>
          <cell r="Q130" t="e">
            <v>#REF!</v>
          </cell>
          <cell r="R130" t="str">
            <v>n/a</v>
          </cell>
        </row>
        <row r="131">
          <cell r="C131">
            <v>0.74199999999999999</v>
          </cell>
          <cell r="D131">
            <v>0</v>
          </cell>
          <cell r="E131">
            <v>-0.74199999999999999</v>
          </cell>
          <cell r="G131">
            <v>3.9710000000000001</v>
          </cell>
          <cell r="H131">
            <v>0</v>
          </cell>
          <cell r="I131">
            <v>-3.9710000000000001</v>
          </cell>
          <cell r="K131">
            <v>0.74199999999999999</v>
          </cell>
          <cell r="L131">
            <v>-1</v>
          </cell>
          <cell r="M131">
            <v>-3.9710000000000001</v>
          </cell>
          <cell r="N131" t="str">
            <v>n/a</v>
          </cell>
          <cell r="O131">
            <v>3.9710000000000001</v>
          </cell>
          <cell r="P131">
            <v>-1</v>
          </cell>
          <cell r="Q131" t="e">
            <v>#REF!</v>
          </cell>
          <cell r="R131" t="str">
            <v>n/a</v>
          </cell>
        </row>
        <row r="132">
          <cell r="C132">
            <v>2.1749999999999998</v>
          </cell>
          <cell r="D132">
            <v>0</v>
          </cell>
          <cell r="E132">
            <v>-2.1749999999999998</v>
          </cell>
          <cell r="G132">
            <v>10.335000000000001</v>
          </cell>
          <cell r="H132">
            <v>0</v>
          </cell>
          <cell r="I132">
            <v>-10.335000000000001</v>
          </cell>
          <cell r="K132">
            <v>2.1749999999999998</v>
          </cell>
          <cell r="L132">
            <v>-1</v>
          </cell>
          <cell r="M132">
            <v>-10.335000000000001</v>
          </cell>
          <cell r="N132" t="str">
            <v>n/a</v>
          </cell>
          <cell r="O132">
            <v>10.335000000000001</v>
          </cell>
          <cell r="P132">
            <v>-1</v>
          </cell>
          <cell r="Q132" t="e">
            <v>#REF!</v>
          </cell>
          <cell r="R132" t="str">
            <v>n/a</v>
          </cell>
        </row>
        <row r="133">
          <cell r="C133">
            <v>0</v>
          </cell>
          <cell r="D133">
            <v>0</v>
          </cell>
          <cell r="E133">
            <v>0</v>
          </cell>
          <cell r="G133">
            <v>0</v>
          </cell>
          <cell r="H133">
            <v>0</v>
          </cell>
          <cell r="I133">
            <v>0</v>
          </cell>
          <cell r="K133">
            <v>0</v>
          </cell>
          <cell r="L133" t="str">
            <v>n/a</v>
          </cell>
          <cell r="M133">
            <v>0</v>
          </cell>
          <cell r="N133" t="str">
            <v>n/a</v>
          </cell>
          <cell r="O133">
            <v>0</v>
          </cell>
          <cell r="P133" t="str">
            <v>n/a</v>
          </cell>
          <cell r="Q133" t="e">
            <v>#REF!</v>
          </cell>
          <cell r="R133" t="str">
            <v>n/a</v>
          </cell>
        </row>
        <row r="134">
          <cell r="C134">
            <v>2.9546337808219176</v>
          </cell>
          <cell r="D134">
            <v>0</v>
          </cell>
          <cell r="E134">
            <v>-2.9546337808219176</v>
          </cell>
          <cell r="G134">
            <v>2.9546337808219176</v>
          </cell>
          <cell r="H134">
            <v>0</v>
          </cell>
          <cell r="I134">
            <v>-2.9546337808219176</v>
          </cell>
          <cell r="K134">
            <v>2.9546337808219176</v>
          </cell>
          <cell r="L134">
            <v>-1</v>
          </cell>
          <cell r="M134">
            <v>-2.9546337808219176</v>
          </cell>
          <cell r="N134" t="str">
            <v>n/a</v>
          </cell>
          <cell r="O134">
            <v>2.9546337808219176</v>
          </cell>
          <cell r="P134">
            <v>-1</v>
          </cell>
          <cell r="Q134" t="e">
            <v>#REF!</v>
          </cell>
          <cell r="R134" t="str">
            <v>n/a</v>
          </cell>
        </row>
        <row r="135">
          <cell r="C135">
            <v>0</v>
          </cell>
          <cell r="D135">
            <v>0</v>
          </cell>
          <cell r="E135">
            <v>0</v>
          </cell>
          <cell r="G135">
            <v>0</v>
          </cell>
          <cell r="H135">
            <v>0</v>
          </cell>
          <cell r="I135">
            <v>0</v>
          </cell>
          <cell r="K135">
            <v>0</v>
          </cell>
          <cell r="L135" t="str">
            <v>n/a</v>
          </cell>
          <cell r="M135">
            <v>0</v>
          </cell>
          <cell r="N135" t="str">
            <v>n/a</v>
          </cell>
          <cell r="O135">
            <v>0</v>
          </cell>
          <cell r="P135" t="str">
            <v>n/a</v>
          </cell>
          <cell r="Q135" t="e">
            <v>#REF!</v>
          </cell>
          <cell r="R135" t="str">
            <v>n/a</v>
          </cell>
        </row>
        <row r="136">
          <cell r="C136">
            <v>0</v>
          </cell>
          <cell r="D136">
            <v>0</v>
          </cell>
          <cell r="E136">
            <v>0</v>
          </cell>
          <cell r="G136">
            <v>0</v>
          </cell>
          <cell r="H136">
            <v>0</v>
          </cell>
          <cell r="I136">
            <v>0</v>
          </cell>
          <cell r="K136">
            <v>0</v>
          </cell>
          <cell r="L136" t="str">
            <v>n/a</v>
          </cell>
          <cell r="M136">
            <v>0</v>
          </cell>
          <cell r="N136" t="str">
            <v>n/a</v>
          </cell>
          <cell r="O136">
            <v>0</v>
          </cell>
          <cell r="P136" t="str">
            <v>n/a</v>
          </cell>
          <cell r="Q136" t="e">
            <v>#REF!</v>
          </cell>
          <cell r="R136" t="str">
            <v>n/a</v>
          </cell>
        </row>
        <row r="137">
          <cell r="C137">
            <v>0</v>
          </cell>
          <cell r="D137">
            <v>0</v>
          </cell>
          <cell r="E137">
            <v>0</v>
          </cell>
          <cell r="G137">
            <v>0</v>
          </cell>
          <cell r="H137">
            <v>0</v>
          </cell>
          <cell r="I137">
            <v>0</v>
          </cell>
          <cell r="K137">
            <v>0</v>
          </cell>
          <cell r="L137" t="str">
            <v>n/a</v>
          </cell>
          <cell r="M137">
            <v>0</v>
          </cell>
          <cell r="N137" t="str">
            <v>n/a</v>
          </cell>
          <cell r="O137">
            <v>0</v>
          </cell>
          <cell r="P137" t="str">
            <v>n/a</v>
          </cell>
          <cell r="Q137" t="e">
            <v>#REF!</v>
          </cell>
          <cell r="R137" t="str">
            <v>n/a</v>
          </cell>
        </row>
        <row r="138">
          <cell r="C138">
            <v>52.253340680821914</v>
          </cell>
          <cell r="D138">
            <v>21.679304399999999</v>
          </cell>
          <cell r="E138">
            <v>-30.574036280821915</v>
          </cell>
          <cell r="G138">
            <v>226.73298598082189</v>
          </cell>
          <cell r="H138">
            <v>86.079590999999979</v>
          </cell>
          <cell r="I138">
            <v>-140.65339498082193</v>
          </cell>
          <cell r="K138">
            <v>30.574036280821915</v>
          </cell>
          <cell r="L138">
            <v>-0.58511160975480436</v>
          </cell>
          <cell r="M138">
            <v>-205.05368158082189</v>
          </cell>
          <cell r="N138">
            <v>9.4584991195945332</v>
          </cell>
          <cell r="O138">
            <v>140.65339498082193</v>
          </cell>
          <cell r="P138">
            <v>-0.62034817903698847</v>
          </cell>
          <cell r="Q138" t="e">
            <v>#REF!</v>
          </cell>
          <cell r="R138" t="str">
            <v>n/a</v>
          </cell>
        </row>
        <row r="140">
          <cell r="C140">
            <v>20.286320407978017</v>
          </cell>
          <cell r="D140">
            <v>19.261122133767579</v>
          </cell>
          <cell r="E140">
            <v>-1.0251982742104389</v>
          </cell>
          <cell r="G140">
            <v>67.807275575521984</v>
          </cell>
          <cell r="H140">
            <v>57.783366401302729</v>
          </cell>
          <cell r="I140">
            <v>-10.023909174219256</v>
          </cell>
          <cell r="K140">
            <v>1.0251982742104389</v>
          </cell>
          <cell r="L140">
            <v>-5.0536433103327005E-2</v>
          </cell>
          <cell r="M140">
            <v>-48.546153441754406</v>
          </cell>
          <cell r="N140">
            <v>2.5204218687054509</v>
          </cell>
          <cell r="O140">
            <v>10.023909174219256</v>
          </cell>
          <cell r="P140">
            <v>-0.14782940457554417</v>
          </cell>
          <cell r="Q140" t="e">
            <v>#REF!</v>
          </cell>
          <cell r="R140" t="str">
            <v>n/a</v>
          </cell>
        </row>
        <row r="141">
          <cell r="C141">
            <v>7.9580786405131222E-16</v>
          </cell>
          <cell r="D141">
            <v>2.5000010737130649E-9</v>
          </cell>
          <cell r="E141">
            <v>2.5000002779052007E-9</v>
          </cell>
          <cell r="G141">
            <v>9.0949470177292826E-15</v>
          </cell>
          <cell r="H141">
            <v>7.4999725256930112E-9</v>
          </cell>
          <cell r="I141">
            <v>7.4999634307459932E-9</v>
          </cell>
          <cell r="K141">
            <v>-2.5000002779052007E-9</v>
          </cell>
          <cell r="L141" t="str">
            <v>n/a</v>
          </cell>
          <cell r="M141">
            <v>2.499991978766047E-9</v>
          </cell>
          <cell r="N141">
            <v>-0.99999636202275533</v>
          </cell>
          <cell r="O141">
            <v>-7.4999634307459932E-9</v>
          </cell>
          <cell r="P141" t="str">
            <v>n/a</v>
          </cell>
          <cell r="Q141" t="e">
            <v>#REF!</v>
          </cell>
          <cell r="R141" t="str">
            <v>n/a</v>
          </cell>
        </row>
        <row r="142">
          <cell r="C142">
            <v>19.681930000000001</v>
          </cell>
          <cell r="D142">
            <v>14.411155708908026</v>
          </cell>
          <cell r="E142">
            <v>-5.2707742910919748</v>
          </cell>
          <cell r="G142">
            <v>-34.596180000000011</v>
          </cell>
          <cell r="H142">
            <v>43.233467126723987</v>
          </cell>
          <cell r="I142">
            <v>77.829647126723998</v>
          </cell>
          <cell r="K142">
            <v>5.2707742910919748</v>
          </cell>
          <cell r="L142">
            <v>-0.26779763423058478</v>
          </cell>
          <cell r="M142">
            <v>49.007335708908037</v>
          </cell>
          <cell r="N142">
            <v>-3.4006527095266157</v>
          </cell>
          <cell r="O142">
            <v>-77.829647126723998</v>
          </cell>
          <cell r="P142">
            <v>-2.249660139550782</v>
          </cell>
          <cell r="Q142" t="e">
            <v>#REF!</v>
          </cell>
          <cell r="R142" t="str">
            <v>n/a</v>
          </cell>
        </row>
        <row r="144">
          <cell r="C144">
            <v>0.19172999999999996</v>
          </cell>
          <cell r="D144">
            <v>6.7585714279999987E-2</v>
          </cell>
          <cell r="E144">
            <v>-0.12414428571999997</v>
          </cell>
          <cell r="G144">
            <v>0.37781999999999999</v>
          </cell>
          <cell r="H144">
            <v>0.20275714284000002</v>
          </cell>
          <cell r="I144">
            <v>-0.17506285715999997</v>
          </cell>
          <cell r="K144">
            <v>0.12414428571999997</v>
          </cell>
          <cell r="L144">
            <v>-0.64749536181087985</v>
          </cell>
          <cell r="M144">
            <v>-0.31023428572</v>
          </cell>
          <cell r="N144">
            <v>4.5902346231739797</v>
          </cell>
          <cell r="O144">
            <v>0.17506285715999997</v>
          </cell>
          <cell r="P144">
            <v>-0.46334989455296172</v>
          </cell>
          <cell r="Q144" t="e">
            <v>#REF!</v>
          </cell>
          <cell r="R144" t="str">
            <v>n/a</v>
          </cell>
        </row>
        <row r="145">
          <cell r="C145">
            <v>17.469053348533063</v>
          </cell>
          <cell r="D145">
            <v>19.188829999999992</v>
          </cell>
          <cell r="E145">
            <v>1.7197766514669297</v>
          </cell>
          <cell r="G145">
            <v>56.07078435438244</v>
          </cell>
          <cell r="H145">
            <v>57.566490000000023</v>
          </cell>
          <cell r="I145">
            <v>1.4957056456175835</v>
          </cell>
          <cell r="K145">
            <v>-1.7197766514669297</v>
          </cell>
          <cell r="L145">
            <v>9.8447043303084625E-2</v>
          </cell>
          <cell r="M145">
            <v>-36.881954354382444</v>
          </cell>
          <cell r="N145">
            <v>1.9220533171841359</v>
          </cell>
          <cell r="O145">
            <v>-1.4957056456175835</v>
          </cell>
          <cell r="P145">
            <v>2.6675311623328035E-2</v>
          </cell>
          <cell r="Q145" t="e">
            <v>#REF!</v>
          </cell>
          <cell r="R145" t="str">
            <v>n/a</v>
          </cell>
        </row>
        <row r="146">
          <cell r="C146">
            <v>0</v>
          </cell>
          <cell r="D146">
            <v>0</v>
          </cell>
          <cell r="E146">
            <v>0</v>
          </cell>
          <cell r="G146">
            <v>0.77949999999999997</v>
          </cell>
          <cell r="H146">
            <v>0</v>
          </cell>
          <cell r="I146">
            <v>-0.77949999999999997</v>
          </cell>
          <cell r="K146">
            <v>0</v>
          </cell>
          <cell r="L146" t="str">
            <v>n/a</v>
          </cell>
          <cell r="M146">
            <v>-0.77949999999999997</v>
          </cell>
          <cell r="N146" t="str">
            <v>n/a</v>
          </cell>
          <cell r="O146">
            <v>0.77949999999999997</v>
          </cell>
          <cell r="P146">
            <v>-1</v>
          </cell>
          <cell r="Q146" t="e">
            <v>#REF!</v>
          </cell>
          <cell r="R146" t="str">
            <v>n/a</v>
          </cell>
        </row>
        <row r="147">
          <cell r="C147">
            <v>-8.7262881727888271</v>
          </cell>
          <cell r="D147">
            <v>31.799359999999997</v>
          </cell>
          <cell r="E147">
            <v>40.52564817278882</v>
          </cell>
          <cell r="G147">
            <v>75.629266722285692</v>
          </cell>
          <cell r="H147">
            <v>95.398080000000007</v>
          </cell>
          <cell r="I147">
            <v>19.768813277714315</v>
          </cell>
          <cell r="K147">
            <v>-40.52564817278882</v>
          </cell>
          <cell r="L147">
            <v>-4.6440877690883386</v>
          </cell>
          <cell r="M147">
            <v>-43.829906722285699</v>
          </cell>
          <cell r="N147">
            <v>1.3783266934392926</v>
          </cell>
          <cell r="O147">
            <v>-19.768813277714315</v>
          </cell>
          <cell r="P147">
            <v>0.26139104786386924</v>
          </cell>
          <cell r="Q147" t="e">
            <v>#REF!</v>
          </cell>
          <cell r="R147" t="str">
            <v>n/a</v>
          </cell>
        </row>
        <row r="148">
          <cell r="C148">
            <v>-34.312470000000005</v>
          </cell>
          <cell r="D148">
            <v>-16.852072859989999</v>
          </cell>
          <cell r="E148">
            <v>17.460397140010006</v>
          </cell>
          <cell r="G148">
            <v>-57.073779999999999</v>
          </cell>
          <cell r="H148">
            <v>-50.556218579969993</v>
          </cell>
          <cell r="I148">
            <v>6.517561420030006</v>
          </cell>
          <cell r="K148">
            <v>-17.460397140010006</v>
          </cell>
          <cell r="L148">
            <v>-0.5088644781331686</v>
          </cell>
          <cell r="M148">
            <v>40.221707140009997</v>
          </cell>
          <cell r="N148">
            <v>2.3867513198037451</v>
          </cell>
          <cell r="O148">
            <v>-6.517561420030006</v>
          </cell>
          <cell r="P148">
            <v>-0.11419536992345702</v>
          </cell>
          <cell r="Q148" t="e">
            <v>#REF!</v>
          </cell>
          <cell r="R148" t="str">
            <v>n/a</v>
          </cell>
        </row>
        <row r="149">
          <cell r="C149">
            <v>9.7858487085263519</v>
          </cell>
          <cell r="D149">
            <v>3.8474099999999991</v>
          </cell>
          <cell r="E149">
            <v>-5.9384387085263528</v>
          </cell>
          <cell r="G149">
            <v>25.672036797504738</v>
          </cell>
          <cell r="H149">
            <v>11.542230000000002</v>
          </cell>
          <cell r="I149">
            <v>-14.129806797504736</v>
          </cell>
          <cell r="K149">
            <v>5.9384387085263528</v>
          </cell>
          <cell r="L149">
            <v>-0.60683941530306162</v>
          </cell>
          <cell r="M149">
            <v>-21.824626797504738</v>
          </cell>
          <cell r="N149">
            <v>5.6725503124191974</v>
          </cell>
          <cell r="O149">
            <v>14.129806797504736</v>
          </cell>
          <cell r="P149">
            <v>-0.55039679589732127</v>
          </cell>
          <cell r="Q149" t="e">
            <v>#REF!</v>
          </cell>
          <cell r="R149" t="str">
            <v>n/a</v>
          </cell>
        </row>
        <row r="150">
          <cell r="C150">
            <v>0.24896999999999994</v>
          </cell>
          <cell r="D150">
            <v>0.34472285709700029</v>
          </cell>
          <cell r="E150">
            <v>9.5752857097000349E-2</v>
          </cell>
          <cell r="G150">
            <v>0.8025899999999998</v>
          </cell>
          <cell r="H150">
            <v>1.0341685712909998</v>
          </cell>
          <cell r="I150">
            <v>0.23157857129100001</v>
          </cell>
          <cell r="K150">
            <v>-9.5752857097000349E-2</v>
          </cell>
          <cell r="L150">
            <v>0.38459596375868732</v>
          </cell>
          <cell r="M150">
            <v>-0.45786714290299951</v>
          </cell>
          <cell r="N150">
            <v>1.328218113410919</v>
          </cell>
          <cell r="O150">
            <v>-0.23157857129100001</v>
          </cell>
          <cell r="P150">
            <v>0.28853906887825675</v>
          </cell>
          <cell r="Q150" t="e">
            <v>#REF!</v>
          </cell>
          <cell r="R150" t="str">
            <v>n/a</v>
          </cell>
        </row>
        <row r="151">
          <cell r="C151">
            <v>-0.15900999999999998</v>
          </cell>
          <cell r="D151">
            <v>-8.2169371429999991</v>
          </cell>
          <cell r="E151">
            <v>-8.0579271429999988</v>
          </cell>
          <cell r="G151">
            <v>-0.94091000000000014</v>
          </cell>
          <cell r="H151">
            <v>-24.650811428999997</v>
          </cell>
          <cell r="I151">
            <v>-23.709901428999999</v>
          </cell>
          <cell r="K151">
            <v>8.0579271429999988</v>
          </cell>
          <cell r="L151" t="str">
            <v>n/a</v>
          </cell>
          <cell r="M151">
            <v>-7.2760271429999985</v>
          </cell>
          <cell r="N151">
            <v>-0.88549139617046235</v>
          </cell>
          <cell r="O151">
            <v>23.709901428999999</v>
          </cell>
          <cell r="P151" t="str">
            <v>n/a</v>
          </cell>
          <cell r="Q151" t="e">
            <v>#REF!</v>
          </cell>
          <cell r="R151" t="str">
            <v>n/a</v>
          </cell>
        </row>
        <row r="152">
          <cell r="C152">
            <v>0</v>
          </cell>
          <cell r="D152">
            <v>0</v>
          </cell>
          <cell r="E152">
            <v>0</v>
          </cell>
          <cell r="G152">
            <v>0</v>
          </cell>
          <cell r="H152">
            <v>0</v>
          </cell>
          <cell r="I152">
            <v>0</v>
          </cell>
          <cell r="K152">
            <v>0</v>
          </cell>
          <cell r="L152" t="str">
            <v>n/a</v>
          </cell>
          <cell r="M152">
            <v>0</v>
          </cell>
          <cell r="N152" t="str">
            <v>n/a</v>
          </cell>
          <cell r="O152">
            <v>0</v>
          </cell>
          <cell r="P152" t="str">
            <v>n/a</v>
          </cell>
          <cell r="Q152" t="e">
            <v>#REF!</v>
          </cell>
          <cell r="R152" t="str">
            <v>n/a</v>
          </cell>
        </row>
        <row r="153">
          <cell r="C153">
            <v>0</v>
          </cell>
          <cell r="D153">
            <v>0</v>
          </cell>
          <cell r="E153">
            <v>0</v>
          </cell>
          <cell r="G153">
            <v>0</v>
          </cell>
          <cell r="H153">
            <v>0</v>
          </cell>
          <cell r="I153">
            <v>0</v>
          </cell>
          <cell r="K153">
            <v>0</v>
          </cell>
          <cell r="L153" t="str">
            <v>n/a</v>
          </cell>
          <cell r="M153">
            <v>0</v>
          </cell>
          <cell r="N153" t="str">
            <v>n/a</v>
          </cell>
          <cell r="O153">
            <v>0</v>
          </cell>
          <cell r="P153" t="str">
            <v>n/a</v>
          </cell>
          <cell r="Q153" t="e">
            <v>#REF!</v>
          </cell>
          <cell r="R153" t="str">
            <v>n/a</v>
          </cell>
        </row>
        <row r="154">
          <cell r="C154">
            <v>0</v>
          </cell>
          <cell r="D154">
            <v>0</v>
          </cell>
          <cell r="E154">
            <v>0</v>
          </cell>
          <cell r="G154">
            <v>0</v>
          </cell>
          <cell r="H154">
            <v>0</v>
          </cell>
          <cell r="I154">
            <v>0</v>
          </cell>
          <cell r="K154">
            <v>0</v>
          </cell>
          <cell r="L154" t="str">
            <v>n/a</v>
          </cell>
          <cell r="M154">
            <v>0</v>
          </cell>
          <cell r="N154" t="str">
            <v>n/a</v>
          </cell>
          <cell r="O154">
            <v>0</v>
          </cell>
          <cell r="P154" t="str">
            <v>n/a</v>
          </cell>
          <cell r="Q154" t="e">
            <v>#REF!</v>
          </cell>
          <cell r="R154" t="str">
            <v>n/a</v>
          </cell>
        </row>
        <row r="155">
          <cell r="C155">
            <v>0</v>
          </cell>
          <cell r="D155">
            <v>0</v>
          </cell>
          <cell r="E155">
            <v>0</v>
          </cell>
          <cell r="G155">
            <v>0</v>
          </cell>
          <cell r="H155">
            <v>0</v>
          </cell>
          <cell r="I155">
            <v>0</v>
          </cell>
          <cell r="K155">
            <v>0</v>
          </cell>
          <cell r="L155" t="str">
            <v>n/a</v>
          </cell>
          <cell r="M155">
            <v>0</v>
          </cell>
          <cell r="N155" t="str">
            <v>n/a</v>
          </cell>
          <cell r="O155">
            <v>0</v>
          </cell>
          <cell r="P155" t="str">
            <v>n/a</v>
          </cell>
          <cell r="Q155" t="e">
            <v>#REF!</v>
          </cell>
          <cell r="R155" t="str">
            <v>n/a</v>
          </cell>
        </row>
        <row r="156">
          <cell r="C156">
            <v>0</v>
          </cell>
          <cell r="D156">
            <v>0</v>
          </cell>
          <cell r="E156">
            <v>0</v>
          </cell>
          <cell r="G156">
            <v>0</v>
          </cell>
          <cell r="H156">
            <v>0</v>
          </cell>
          <cell r="I156">
            <v>0</v>
          </cell>
          <cell r="K156">
            <v>0</v>
          </cell>
          <cell r="L156" t="str">
            <v>n/a</v>
          </cell>
          <cell r="M156">
            <v>0</v>
          </cell>
          <cell r="N156" t="str">
            <v>n/a</v>
          </cell>
          <cell r="O156">
            <v>0</v>
          </cell>
          <cell r="P156" t="str">
            <v>n/a</v>
          </cell>
          <cell r="Q156" t="e">
            <v>#REF!</v>
          </cell>
          <cell r="R156" t="str">
            <v>n/a</v>
          </cell>
        </row>
        <row r="157">
          <cell r="C157">
            <v>-0.11567</v>
          </cell>
          <cell r="D157">
            <v>-83.19778857</v>
          </cell>
          <cell r="E157">
            <v>-83.082118570000006</v>
          </cell>
          <cell r="G157">
            <v>-36.117830000000005</v>
          </cell>
          <cell r="H157">
            <v>-249.59336571</v>
          </cell>
          <cell r="I157">
            <v>-213.47553571</v>
          </cell>
          <cell r="K157">
            <v>83.082118570000006</v>
          </cell>
          <cell r="L157" t="str">
            <v>n/a</v>
          </cell>
          <cell r="M157">
            <v>-47.079958569999995</v>
          </cell>
          <cell r="N157">
            <v>-0.56587992757029115</v>
          </cell>
          <cell r="O157">
            <v>213.47553571</v>
          </cell>
          <cell r="P157">
            <v>5.9105304972640926</v>
          </cell>
          <cell r="Q157" t="e">
            <v>#REF!</v>
          </cell>
          <cell r="R157" t="str">
            <v>n/a</v>
          </cell>
        </row>
        <row r="158">
          <cell r="C158">
            <v>-15.617836115729418</v>
          </cell>
          <cell r="D158">
            <v>-53.018890001613016</v>
          </cell>
          <cell r="E158">
            <v>-37.401053885883599</v>
          </cell>
          <cell r="G158">
            <v>65.199477874172857</v>
          </cell>
          <cell r="H158">
            <v>-159.05667000483896</v>
          </cell>
          <cell r="I158">
            <v>-224.25614787901182</v>
          </cell>
          <cell r="K158">
            <v>37.401053885883599</v>
          </cell>
          <cell r="L158">
            <v>2.3947654213258986</v>
          </cell>
          <cell r="M158">
            <v>-118.21836787578587</v>
          </cell>
          <cell r="N158">
            <v>-2.229740529690253</v>
          </cell>
          <cell r="O158">
            <v>224.25614787901182</v>
          </cell>
          <cell r="P158">
            <v>-3.439539014588417</v>
          </cell>
          <cell r="Q158" t="e">
            <v>#REF!</v>
          </cell>
          <cell r="R158" t="str">
            <v>n/a</v>
          </cell>
        </row>
        <row r="159">
          <cell r="C159">
            <v>24.350414292248598</v>
          </cell>
          <cell r="D159">
            <v>-19.346612156437416</v>
          </cell>
          <cell r="E159">
            <v>-43.697026448686017</v>
          </cell>
          <cell r="G159">
            <v>98.41057344969488</v>
          </cell>
          <cell r="H159">
            <v>-58.039836469312291</v>
          </cell>
          <cell r="I159">
            <v>-156.45040991900717</v>
          </cell>
          <cell r="K159">
            <v>43.697026448686017</v>
          </cell>
          <cell r="L159">
            <v>-1.7945085420002882</v>
          </cell>
          <cell r="M159">
            <v>-117.7571856061323</v>
          </cell>
          <cell r="N159">
            <v>-6.086708342212237</v>
          </cell>
          <cell r="O159">
            <v>156.45040991900717</v>
          </cell>
          <cell r="P159">
            <v>-1.5897723632205116</v>
          </cell>
          <cell r="Q159" t="e">
            <v>#REF!</v>
          </cell>
          <cell r="R159" t="str">
            <v>n/a</v>
          </cell>
        </row>
        <row r="161">
          <cell r="C161">
            <v>55.226740000000014</v>
          </cell>
          <cell r="D161">
            <v>60.027651551811651</v>
          </cell>
          <cell r="E161">
            <v>4.8009115518116374</v>
          </cell>
          <cell r="G161">
            <v>460.28569000513539</v>
          </cell>
          <cell r="H161">
            <v>502.97125244831147</v>
          </cell>
          <cell r="I161">
            <v>42.685562443176082</v>
          </cell>
          <cell r="K161">
            <v>-4.8009115518116374</v>
          </cell>
          <cell r="L161">
            <v>8.6930924255381292E-2</v>
          </cell>
          <cell r="M161">
            <v>-400.25803845332376</v>
          </cell>
          <cell r="N161">
            <v>6.6678943471218277</v>
          </cell>
          <cell r="O161">
            <v>-42.685562443176082</v>
          </cell>
          <cell r="P161">
            <v>9.2737105172007173E-2</v>
          </cell>
          <cell r="Q161" t="e">
            <v>#REF!</v>
          </cell>
          <cell r="R161" t="str">
            <v>n/a</v>
          </cell>
        </row>
        <row r="162">
          <cell r="C162">
            <v>131.83049497307053</v>
          </cell>
          <cell r="D162">
            <v>62.360343795374234</v>
          </cell>
          <cell r="E162">
            <v>-69.470151177696295</v>
          </cell>
          <cell r="G162">
            <v>785.4292494356522</v>
          </cell>
          <cell r="H162">
            <v>531.01100697899915</v>
          </cell>
          <cell r="I162">
            <v>-254.41824245665305</v>
          </cell>
          <cell r="K162">
            <v>69.470151177696295</v>
          </cell>
          <cell r="L162">
            <v>-0.52696571602713926</v>
          </cell>
          <cell r="M162">
            <v>-723.06890564027799</v>
          </cell>
          <cell r="N162" t="str">
            <v>n/a</v>
          </cell>
          <cell r="O162">
            <v>254.41824245665305</v>
          </cell>
          <cell r="P162">
            <v>-0.32392254635214823</v>
          </cell>
          <cell r="Q162" t="e">
            <v>#REF!</v>
          </cell>
          <cell r="R162" t="str">
            <v>n/a</v>
          </cell>
        </row>
        <row r="164">
          <cell r="C164">
            <v>3845.3411049730707</v>
          </cell>
          <cell r="D164">
            <v>5298.3375915668712</v>
          </cell>
          <cell r="E164">
            <v>1452.9964865938005</v>
          </cell>
          <cell r="G164">
            <v>26112.25233943565</v>
          </cell>
          <cell r="H164">
            <v>30066.066282924261</v>
          </cell>
          <cell r="I164">
            <v>3953.8139434886107</v>
          </cell>
          <cell r="K164">
            <v>-1452.9964865938005</v>
          </cell>
          <cell r="L164">
            <v>0.3778589329083657</v>
          </cell>
          <cell r="M164">
            <v>-20813.914747868781</v>
          </cell>
          <cell r="N164">
            <v>3.9283859112709925</v>
          </cell>
          <cell r="O164">
            <v>-3953.8139434886107</v>
          </cell>
          <cell r="P164">
            <v>0.15141604378253581</v>
          </cell>
          <cell r="Q164" t="e">
            <v>#REF!</v>
          </cell>
          <cell r="R164" t="str">
            <v>n/a</v>
          </cell>
        </row>
        <row r="166">
          <cell r="C166">
            <v>-121.16298771655002</v>
          </cell>
          <cell r="D166">
            <v>-85.162145391389245</v>
          </cell>
          <cell r="E166">
            <v>36.000842325160775</v>
          </cell>
          <cell r="G166">
            <v>-443.04652256452192</v>
          </cell>
          <cell r="H166">
            <v>-255.48643617416744</v>
          </cell>
          <cell r="I166">
            <v>187.56008639035448</v>
          </cell>
          <cell r="K166">
            <v>-36.000842325160775</v>
          </cell>
          <cell r="L166">
            <v>-0.29712739016787482</v>
          </cell>
          <cell r="M166">
            <v>357.88437717313269</v>
          </cell>
          <cell r="N166">
            <v>4.2023879920868978</v>
          </cell>
          <cell r="O166">
            <v>-187.56008639035448</v>
          </cell>
          <cell r="P166">
            <v>-0.42334174141506697</v>
          </cell>
          <cell r="Q166" t="e">
            <v>#REF!</v>
          </cell>
          <cell r="R166" t="str">
            <v>n/a</v>
          </cell>
        </row>
        <row r="167">
          <cell r="C167">
            <v>643.17264744468923</v>
          </cell>
          <cell r="D167">
            <v>406.50125029598456</v>
          </cell>
          <cell r="E167">
            <v>-236.67139714870467</v>
          </cell>
          <cell r="G167">
            <v>1709.326825055678</v>
          </cell>
          <cell r="H167">
            <v>1219.5037508879529</v>
          </cell>
          <cell r="I167">
            <v>-489.82307416772505</v>
          </cell>
          <cell r="K167">
            <v>236.67139714870467</v>
          </cell>
          <cell r="L167">
            <v>-0.36797491014114936</v>
          </cell>
          <cell r="M167">
            <v>-1302.8255747596934</v>
          </cell>
          <cell r="N167">
            <v>3.2049731060139939</v>
          </cell>
          <cell r="O167">
            <v>489.82307416772505</v>
          </cell>
          <cell r="P167">
            <v>-0.28655905177862639</v>
          </cell>
          <cell r="Q167" t="e">
            <v>#REF!</v>
          </cell>
          <cell r="R167" t="str">
            <v>n/a</v>
          </cell>
        </row>
        <row r="168">
          <cell r="C168">
            <v>91.510850000000005</v>
          </cell>
          <cell r="D168">
            <v>107.11740424226015</v>
          </cell>
          <cell r="E168">
            <v>15.606554242260145</v>
          </cell>
          <cell r="G168">
            <v>325.64899000000048</v>
          </cell>
          <cell r="H168">
            <v>321.35221272678069</v>
          </cell>
          <cell r="I168">
            <v>-4.2967772732197886</v>
          </cell>
          <cell r="K168">
            <v>-15.606554242260145</v>
          </cell>
          <cell r="L168">
            <v>0.17054321145809648</v>
          </cell>
          <cell r="M168">
            <v>-218.53158575774034</v>
          </cell>
          <cell r="N168">
            <v>2.0401127837592319</v>
          </cell>
          <cell r="O168">
            <v>4.2967772732197886</v>
          </cell>
          <cell r="P168">
            <v>-1.3194505142545609E-2</v>
          </cell>
          <cell r="Q168" t="e">
            <v>#REF!</v>
          </cell>
          <cell r="R168" t="str">
            <v>n/a</v>
          </cell>
        </row>
        <row r="170">
          <cell r="C170">
            <v>613.52050972813925</v>
          </cell>
          <cell r="D170">
            <v>428.45650914685547</v>
          </cell>
          <cell r="E170">
            <v>-185.06400058128378</v>
          </cell>
          <cell r="G170">
            <v>1591.9292924911565</v>
          </cell>
          <cell r="H170">
            <v>1285.3695274405661</v>
          </cell>
          <cell r="I170">
            <v>-306.55976505059039</v>
          </cell>
          <cell r="K170">
            <v>185.06400058128378</v>
          </cell>
          <cell r="L170">
            <v>-0.30164272855896634</v>
          </cell>
          <cell r="M170">
            <v>-1163.472783344301</v>
          </cell>
          <cell r="N170">
            <v>2.7154979758879456</v>
          </cell>
          <cell r="O170">
            <v>306.55976505059039</v>
          </cell>
          <cell r="P170">
            <v>-0.19257121939810862</v>
          </cell>
          <cell r="Q170" t="e">
            <v>#REF!</v>
          </cell>
          <cell r="R170" t="str">
            <v>n/a</v>
          </cell>
        </row>
        <row r="172">
          <cell r="C172">
            <v>4458.8616147012099</v>
          </cell>
          <cell r="D172">
            <v>5726.7941007137269</v>
          </cell>
          <cell r="E172">
            <v>1267.9324860125171</v>
          </cell>
          <cell r="G172">
            <v>27704.181631926807</v>
          </cell>
          <cell r="H172">
            <v>31351.435810364826</v>
          </cell>
          <cell r="I172">
            <v>3647.2541784380192</v>
          </cell>
          <cell r="K172">
            <v>-1267.9324860125171</v>
          </cell>
          <cell r="L172">
            <v>0.28436237667301589</v>
          </cell>
          <cell r="M172">
            <v>-21977.38753121308</v>
          </cell>
          <cell r="N172">
            <v>3.8376423431172517</v>
          </cell>
          <cell r="O172">
            <v>-3647.2541784380192</v>
          </cell>
          <cell r="P172">
            <v>0.13164995186989592</v>
          </cell>
          <cell r="Q172" t="e">
            <v>#REF!</v>
          </cell>
          <cell r="R172" t="str">
            <v>n/a</v>
          </cell>
        </row>
      </sheetData>
      <sheetData sheetId="26" refreshError="1">
        <row r="5">
          <cell r="D5" t="str">
            <v>0txbk</v>
          </cell>
        </row>
        <row r="10">
          <cell r="C10">
            <v>23.03274</v>
          </cell>
          <cell r="D10">
            <v>285.91313887801215</v>
          </cell>
          <cell r="E10">
            <v>-262.88039887801216</v>
          </cell>
          <cell r="G10">
            <v>162.12438999999992</v>
          </cell>
          <cell r="H10">
            <v>1174.3262468190096</v>
          </cell>
          <cell r="I10">
            <v>-1012.2018568190097</v>
          </cell>
          <cell r="K10">
            <v>-262.88039887801216</v>
          </cell>
          <cell r="L10" t="str">
            <v>n/a</v>
          </cell>
          <cell r="M10">
            <v>123.78874887801223</v>
          </cell>
          <cell r="N10">
            <v>-0.43295928743879097</v>
          </cell>
          <cell r="O10">
            <v>-1012.2018568190097</v>
          </cell>
          <cell r="P10">
            <v>6.2433657071524538</v>
          </cell>
          <cell r="Q10" t="e">
            <v>#REF!</v>
          </cell>
          <cell r="R10" t="str">
            <v>n/a</v>
          </cell>
          <cell r="S10" t="e">
            <v>#REF!</v>
          </cell>
          <cell r="T10" t="str">
            <v>n/a</v>
          </cell>
        </row>
        <row r="11">
          <cell r="C11">
            <v>-1.9871899999999996</v>
          </cell>
          <cell r="D11">
            <v>34.504550833333361</v>
          </cell>
          <cell r="E11">
            <v>-36.49174083333336</v>
          </cell>
          <cell r="G11">
            <v>-15.102919999999999</v>
          </cell>
          <cell r="H11">
            <v>139.88430333333341</v>
          </cell>
          <cell r="I11">
            <v>-154.98722333333342</v>
          </cell>
          <cell r="K11">
            <v>-36.49174083333336</v>
          </cell>
          <cell r="L11" t="str">
            <v>n/a</v>
          </cell>
          <cell r="M11">
            <v>49.607470833333359</v>
          </cell>
          <cell r="N11">
            <v>-1.4377080598136556</v>
          </cell>
          <cell r="O11">
            <v>-154.98722333333342</v>
          </cell>
          <cell r="P11" t="str">
            <v>n/a</v>
          </cell>
          <cell r="Q11" t="e">
            <v>#REF!</v>
          </cell>
          <cell r="R11" t="str">
            <v>n/a</v>
          </cell>
          <cell r="S11" t="e">
            <v>#REF!</v>
          </cell>
          <cell r="T11" t="str">
            <v>n/a</v>
          </cell>
        </row>
        <row r="12">
          <cell r="C12">
            <v>10.877989999999999</v>
          </cell>
          <cell r="D12">
            <v>31.137658766705464</v>
          </cell>
          <cell r="E12">
            <v>-20.259668766705467</v>
          </cell>
          <cell r="G12">
            <v>62.321740000000005</v>
          </cell>
          <cell r="H12">
            <v>140.36930770747426</v>
          </cell>
          <cell r="I12">
            <v>-78.047567707474258</v>
          </cell>
          <cell r="K12">
            <v>-20.259668766705467</v>
          </cell>
          <cell r="L12">
            <v>1.8624459819052479</v>
          </cell>
          <cell r="M12">
            <v>-31.184081233294542</v>
          </cell>
          <cell r="N12">
            <v>1.0014908785190593</v>
          </cell>
          <cell r="O12">
            <v>-78.047567707474258</v>
          </cell>
          <cell r="P12">
            <v>1.2523329372298373</v>
          </cell>
          <cell r="Q12" t="e">
            <v>#REF!</v>
          </cell>
          <cell r="R12" t="str">
            <v>n/a</v>
          </cell>
          <cell r="S12" t="e">
            <v>#REF!</v>
          </cell>
          <cell r="T12" t="str">
            <v>n/a</v>
          </cell>
        </row>
        <row r="13">
          <cell r="C13">
            <v>0.38675999999999999</v>
          </cell>
          <cell r="D13">
            <v>0.99999999999999978</v>
          </cell>
          <cell r="E13">
            <v>-0.61323999999999979</v>
          </cell>
          <cell r="G13">
            <v>19.236330000000009</v>
          </cell>
          <cell r="H13">
            <v>31.828699999999984</v>
          </cell>
          <cell r="I13">
            <v>-12.592369999999974</v>
          </cell>
          <cell r="K13">
            <v>-0.61323999999999979</v>
          </cell>
          <cell r="L13">
            <v>1.585582790360947</v>
          </cell>
          <cell r="M13">
            <v>-18.236330000000009</v>
          </cell>
          <cell r="N13" t="str">
            <v>n/a</v>
          </cell>
          <cell r="O13">
            <v>-12.592369999999974</v>
          </cell>
          <cell r="P13">
            <v>0.65461395182968718</v>
          </cell>
          <cell r="Q13" t="e">
            <v>#REF!</v>
          </cell>
          <cell r="R13" t="str">
            <v>n/a</v>
          </cell>
          <cell r="S13" t="e">
            <v>#REF!</v>
          </cell>
          <cell r="T13" t="str">
            <v>n/a</v>
          </cell>
        </row>
        <row r="14">
          <cell r="C14">
            <v>1135.7491300000004</v>
          </cell>
          <cell r="D14">
            <v>926.7634817740884</v>
          </cell>
          <cell r="E14">
            <v>208.98564822591197</v>
          </cell>
          <cell r="G14">
            <v>4949.6627400000025</v>
          </cell>
          <cell r="H14">
            <v>4378.3060107526217</v>
          </cell>
          <cell r="I14">
            <v>571.35672924738083</v>
          </cell>
          <cell r="K14">
            <v>208.98564822591197</v>
          </cell>
          <cell r="L14">
            <v>-0.18400687502698054</v>
          </cell>
          <cell r="M14">
            <v>-4022.8992582259143</v>
          </cell>
          <cell r="N14">
            <v>4.3408046792315798</v>
          </cell>
          <cell r="O14">
            <v>571.35672924738083</v>
          </cell>
          <cell r="P14">
            <v>-0.11543346673502453</v>
          </cell>
          <cell r="Q14" t="e">
            <v>#REF!</v>
          </cell>
          <cell r="R14" t="str">
            <v>n/a</v>
          </cell>
          <cell r="S14" t="e">
            <v>#REF!</v>
          </cell>
          <cell r="T14" t="str">
            <v>n/a</v>
          </cell>
        </row>
        <row r="15">
          <cell r="C15">
            <v>1.734</v>
          </cell>
          <cell r="D15">
            <v>1.50475</v>
          </cell>
          <cell r="E15">
            <v>0.22924999999999995</v>
          </cell>
          <cell r="G15">
            <v>9.5867999999999984</v>
          </cell>
          <cell r="H15">
            <v>7.9528700000000017</v>
          </cell>
          <cell r="I15">
            <v>1.6339299999999968</v>
          </cell>
          <cell r="K15">
            <v>0.22924999999999995</v>
          </cell>
          <cell r="L15">
            <v>-0.13220876585928487</v>
          </cell>
          <cell r="M15">
            <v>-8.0820499999999988</v>
          </cell>
          <cell r="N15">
            <v>5.3710250872237904</v>
          </cell>
          <cell r="O15">
            <v>1.6339299999999968</v>
          </cell>
          <cell r="P15">
            <v>-0.17043539032836785</v>
          </cell>
          <cell r="Q15" t="e">
            <v>#REF!</v>
          </cell>
          <cell r="R15" t="str">
            <v>n/a</v>
          </cell>
          <cell r="S15" t="e">
            <v>#REF!</v>
          </cell>
          <cell r="T15" t="str">
            <v>n/a</v>
          </cell>
        </row>
        <row r="16">
          <cell r="C16">
            <v>-0.12225</v>
          </cell>
          <cell r="D16">
            <v>0.3</v>
          </cell>
          <cell r="E16">
            <v>-0.42225000000000001</v>
          </cell>
          <cell r="G16">
            <v>-0.57232999999999989</v>
          </cell>
          <cell r="H16">
            <v>1.5235099999999999</v>
          </cell>
          <cell r="I16">
            <v>-2.0958399999999999</v>
          </cell>
          <cell r="K16">
            <v>-0.42225000000000001</v>
          </cell>
          <cell r="L16">
            <v>-3.4539877300613497</v>
          </cell>
          <cell r="M16">
            <v>0.87232999999999983</v>
          </cell>
          <cell r="N16">
            <v>-2.9077666666666664</v>
          </cell>
          <cell r="O16">
            <v>-2.0958399999999999</v>
          </cell>
          <cell r="P16">
            <v>-3.6619432844687507</v>
          </cell>
          <cell r="Q16" t="e">
            <v>#REF!</v>
          </cell>
          <cell r="R16" t="str">
            <v>n/a</v>
          </cell>
          <cell r="S16" t="e">
            <v>#REF!</v>
          </cell>
          <cell r="T16" t="str">
            <v>n/a</v>
          </cell>
        </row>
        <row r="17">
          <cell r="C17">
            <v>0.4708</v>
          </cell>
          <cell r="D17">
            <v>0.15</v>
          </cell>
          <cell r="E17">
            <v>0.32079999999999997</v>
          </cell>
          <cell r="G17">
            <v>1.32385</v>
          </cell>
          <cell r="H17">
            <v>0.52061000000000002</v>
          </cell>
          <cell r="I17">
            <v>0.80323999999999995</v>
          </cell>
          <cell r="K17">
            <v>0.32079999999999997</v>
          </cell>
          <cell r="L17">
            <v>-0.68139337298215796</v>
          </cell>
          <cell r="M17">
            <v>-1.1738500000000001</v>
          </cell>
          <cell r="N17">
            <v>7.8256666666666668</v>
          </cell>
          <cell r="O17">
            <v>0.80323999999999995</v>
          </cell>
          <cell r="P17">
            <v>-0.60674547720663208</v>
          </cell>
          <cell r="Q17" t="e">
            <v>#REF!</v>
          </cell>
          <cell r="R17" t="str">
            <v>n/a</v>
          </cell>
          <cell r="S17" t="e">
            <v>#REF!</v>
          </cell>
          <cell r="T17" t="str">
            <v>n/a</v>
          </cell>
        </row>
        <row r="18">
          <cell r="C18">
            <v>0</v>
          </cell>
          <cell r="D18">
            <v>4</v>
          </cell>
          <cell r="E18">
            <v>-4</v>
          </cell>
          <cell r="G18">
            <v>0</v>
          </cell>
          <cell r="H18">
            <v>16</v>
          </cell>
          <cell r="I18">
            <v>-16</v>
          </cell>
          <cell r="K18">
            <v>-4</v>
          </cell>
          <cell r="L18" t="str">
            <v>n/a</v>
          </cell>
          <cell r="M18">
            <v>4</v>
          </cell>
          <cell r="N18">
            <v>-1</v>
          </cell>
          <cell r="O18">
            <v>-16</v>
          </cell>
          <cell r="P18" t="str">
            <v>n/a</v>
          </cell>
          <cell r="Q18" t="e">
            <v>#REF!</v>
          </cell>
          <cell r="R18" t="str">
            <v>n/a</v>
          </cell>
          <cell r="S18" t="e">
            <v>#REF!</v>
          </cell>
          <cell r="T18" t="str">
            <v>n/a</v>
          </cell>
        </row>
        <row r="19">
          <cell r="C19">
            <v>-0.54049999999999998</v>
          </cell>
          <cell r="D19">
            <v>0.6</v>
          </cell>
          <cell r="E19">
            <v>-1.1404999999999998</v>
          </cell>
          <cell r="G19">
            <v>-4.8886500000000011</v>
          </cell>
          <cell r="H19">
            <v>0.42757000000000017</v>
          </cell>
          <cell r="I19">
            <v>-5.3162200000000013</v>
          </cell>
          <cell r="K19">
            <v>-1.1404999999999998</v>
          </cell>
          <cell r="L19">
            <v>-2.1100832562442182</v>
          </cell>
          <cell r="M19">
            <v>5.4886500000000007</v>
          </cell>
          <cell r="N19">
            <v>-9.147750000000002</v>
          </cell>
          <cell r="O19">
            <v>-5.3162200000000013</v>
          </cell>
          <cell r="P19">
            <v>-1.0874617737003058</v>
          </cell>
          <cell r="Q19" t="e">
            <v>#REF!</v>
          </cell>
          <cell r="R19" t="str">
            <v>n/a</v>
          </cell>
          <cell r="S19" t="e">
            <v>#REF!</v>
          </cell>
          <cell r="T19" t="str">
            <v>n/a</v>
          </cell>
        </row>
        <row r="20">
          <cell r="C20">
            <v>3.2</v>
          </cell>
          <cell r="D20">
            <v>2.6198333333333381</v>
          </cell>
          <cell r="E20">
            <v>0.58016666666666206</v>
          </cell>
          <cell r="G20">
            <v>13.589430000000002</v>
          </cell>
          <cell r="H20">
            <v>12.355273333333356</v>
          </cell>
          <cell r="I20">
            <v>1.2341566666666459</v>
          </cell>
          <cell r="K20">
            <v>0.58016666666666206</v>
          </cell>
          <cell r="L20">
            <v>-0.18130208333333186</v>
          </cell>
          <cell r="M20">
            <v>-10.969596666666664</v>
          </cell>
          <cell r="N20">
            <v>4.1871353139512602</v>
          </cell>
          <cell r="O20">
            <v>1.2341566666666459</v>
          </cell>
          <cell r="P20">
            <v>-9.0817397541077538E-2</v>
          </cell>
          <cell r="Q20" t="e">
            <v>#REF!</v>
          </cell>
          <cell r="R20" t="str">
            <v>n/a</v>
          </cell>
          <cell r="S20" t="e">
            <v>#REF!</v>
          </cell>
          <cell r="T20" t="str">
            <v>n/a</v>
          </cell>
        </row>
        <row r="21">
          <cell r="C21">
            <v>-141.31685999999999</v>
          </cell>
          <cell r="D21">
            <v>-3.6421140350000001</v>
          </cell>
          <cell r="E21">
            <v>-137.674745965</v>
          </cell>
          <cell r="G21">
            <v>-721.99727999999993</v>
          </cell>
          <cell r="H21">
            <v>-138.38997753499999</v>
          </cell>
          <cell r="I21">
            <v>-583.60730246499998</v>
          </cell>
          <cell r="K21">
            <v>-137.674745965</v>
          </cell>
          <cell r="L21">
            <v>-0.97422732124815115</v>
          </cell>
          <cell r="M21">
            <v>718.35516596499997</v>
          </cell>
          <cell r="N21" t="str">
            <v>n/a</v>
          </cell>
          <cell r="O21">
            <v>-583.60730246499998</v>
          </cell>
          <cell r="P21">
            <v>-0.80832340873223241</v>
          </cell>
          <cell r="Q21" t="e">
            <v>#REF!</v>
          </cell>
          <cell r="R21" t="str">
            <v>n/a</v>
          </cell>
          <cell r="S21" t="e">
            <v>#REF!</v>
          </cell>
          <cell r="T21" t="str">
            <v>n/a</v>
          </cell>
        </row>
        <row r="22">
          <cell r="C22">
            <v>2.4894000000000003</v>
          </cell>
          <cell r="D22">
            <v>10.748347525000002</v>
          </cell>
          <cell r="E22">
            <v>-8.2589475250000017</v>
          </cell>
          <cell r="G22">
            <v>22.366720000000008</v>
          </cell>
          <cell r="H22">
            <v>45.646802525000005</v>
          </cell>
          <cell r="I22">
            <v>-23.280082524999997</v>
          </cell>
          <cell r="K22">
            <v>-8.2589475250000017</v>
          </cell>
          <cell r="L22">
            <v>3.3176458283120436</v>
          </cell>
          <cell r="M22">
            <v>-11.618372475000006</v>
          </cell>
          <cell r="N22">
            <v>1.0809449962402482</v>
          </cell>
          <cell r="O22">
            <v>-23.280082524999997</v>
          </cell>
          <cell r="P22">
            <v>1.0408357830294288</v>
          </cell>
          <cell r="Q22" t="e">
            <v>#REF!</v>
          </cell>
          <cell r="R22" t="str">
            <v>n/a</v>
          </cell>
          <cell r="S22" t="e">
            <v>#REF!</v>
          </cell>
          <cell r="T22" t="str">
            <v>n/a</v>
          </cell>
        </row>
        <row r="23">
          <cell r="C23">
            <v>1033.9740200000006</v>
          </cell>
          <cell r="D23">
            <v>1295.5996470754728</v>
          </cell>
          <cell r="E23">
            <v>-261.62562707547227</v>
          </cell>
          <cell r="G23">
            <v>4497.6508200000026</v>
          </cell>
          <cell r="H23">
            <v>5810.7512269357712</v>
          </cell>
          <cell r="I23">
            <v>-1313.1004069357687</v>
          </cell>
          <cell r="K23">
            <v>-261.62562707547227</v>
          </cell>
          <cell r="L23">
            <v>0.25302920771207793</v>
          </cell>
          <cell r="M23">
            <v>-3202.05117292453</v>
          </cell>
          <cell r="N23">
            <v>2.4714819737350546</v>
          </cell>
          <cell r="O23">
            <v>-1313.1004069357687</v>
          </cell>
          <cell r="P23">
            <v>0.29195250131395656</v>
          </cell>
          <cell r="Q23" t="e">
            <v>#REF!</v>
          </cell>
          <cell r="R23" t="str">
            <v>n/a</v>
          </cell>
          <cell r="S23" t="e">
            <v>#REF!</v>
          </cell>
          <cell r="T23" t="str">
            <v>n/a</v>
          </cell>
        </row>
        <row r="25">
          <cell r="C25">
            <v>106.63865000000001</v>
          </cell>
          <cell r="D25">
            <v>148.16900000000001</v>
          </cell>
          <cell r="E25">
            <v>-41.530349999999999</v>
          </cell>
          <cell r="G25">
            <v>966.56351999999993</v>
          </cell>
          <cell r="H25">
            <v>872.8365</v>
          </cell>
          <cell r="I25">
            <v>93.727019999999925</v>
          </cell>
          <cell r="K25">
            <v>-41.530349999999999</v>
          </cell>
          <cell r="L25">
            <v>0.38944932254862552</v>
          </cell>
          <cell r="M25">
            <v>-818.39451999999994</v>
          </cell>
          <cell r="N25">
            <v>5.523385593477717</v>
          </cell>
          <cell r="O25">
            <v>93.727019999999925</v>
          </cell>
          <cell r="P25">
            <v>-9.6969333169122596E-2</v>
          </cell>
          <cell r="Q25" t="e">
            <v>#REF!</v>
          </cell>
          <cell r="R25" t="str">
            <v>n/a</v>
          </cell>
          <cell r="S25" t="e">
            <v>#REF!</v>
          </cell>
          <cell r="T25" t="str">
            <v>n/a</v>
          </cell>
        </row>
        <row r="27">
          <cell r="C27">
            <v>0</v>
          </cell>
          <cell r="D27">
            <v>0</v>
          </cell>
          <cell r="E27">
            <v>0</v>
          </cell>
          <cell r="G27">
            <v>0</v>
          </cell>
          <cell r="H27">
            <v>0</v>
          </cell>
          <cell r="I27">
            <v>0</v>
          </cell>
          <cell r="K27">
            <v>0</v>
          </cell>
          <cell r="L27" t="str">
            <v>n/a</v>
          </cell>
          <cell r="M27">
            <v>0</v>
          </cell>
          <cell r="N27" t="str">
            <v>n/a</v>
          </cell>
          <cell r="O27">
            <v>0</v>
          </cell>
          <cell r="P27" t="str">
            <v>n/a</v>
          </cell>
          <cell r="Q27" t="e">
            <v>#REF!</v>
          </cell>
          <cell r="R27" t="str">
            <v>n/a</v>
          </cell>
          <cell r="S27" t="e">
            <v>#REF!</v>
          </cell>
          <cell r="T27" t="str">
            <v>n/a</v>
          </cell>
        </row>
        <row r="28">
          <cell r="C28">
            <v>0</v>
          </cell>
          <cell r="D28">
            <v>0</v>
          </cell>
          <cell r="E28">
            <v>0</v>
          </cell>
          <cell r="G28">
            <v>0</v>
          </cell>
          <cell r="H28">
            <v>0</v>
          </cell>
          <cell r="I28">
            <v>0</v>
          </cell>
          <cell r="K28">
            <v>0</v>
          </cell>
          <cell r="L28" t="str">
            <v>n/a</v>
          </cell>
          <cell r="M28">
            <v>0</v>
          </cell>
          <cell r="N28" t="str">
            <v>n/a</v>
          </cell>
          <cell r="O28">
            <v>0</v>
          </cell>
          <cell r="P28" t="str">
            <v>n/a</v>
          </cell>
          <cell r="Q28" t="e">
            <v>#REF!</v>
          </cell>
          <cell r="R28" t="str">
            <v>n/a</v>
          </cell>
          <cell r="S28" t="e">
            <v>#REF!</v>
          </cell>
          <cell r="T28" t="str">
            <v>n/a</v>
          </cell>
        </row>
        <row r="30">
          <cell r="C30">
            <v>0</v>
          </cell>
          <cell r="D30">
            <v>0</v>
          </cell>
          <cell r="E30">
            <v>0</v>
          </cell>
          <cell r="G30">
            <v>0</v>
          </cell>
          <cell r="H30">
            <v>0</v>
          </cell>
          <cell r="I30">
            <v>0</v>
          </cell>
          <cell r="K30">
            <v>0</v>
          </cell>
          <cell r="L30" t="str">
            <v>n/a</v>
          </cell>
          <cell r="M30">
            <v>0</v>
          </cell>
          <cell r="N30" t="str">
            <v>n/a</v>
          </cell>
          <cell r="O30">
            <v>0</v>
          </cell>
          <cell r="P30" t="str">
            <v>n/a</v>
          </cell>
          <cell r="Q30" t="e">
            <v>#REF!</v>
          </cell>
          <cell r="R30" t="str">
            <v>n/a</v>
          </cell>
          <cell r="S30" t="e">
            <v>#REF!</v>
          </cell>
          <cell r="T30" t="str">
            <v>n/a</v>
          </cell>
        </row>
        <row r="31">
          <cell r="C31">
            <v>0</v>
          </cell>
          <cell r="D31">
            <v>0</v>
          </cell>
          <cell r="E31">
            <v>0</v>
          </cell>
          <cell r="G31">
            <v>0</v>
          </cell>
          <cell r="H31">
            <v>0</v>
          </cell>
          <cell r="I31">
            <v>0</v>
          </cell>
          <cell r="K31">
            <v>0</v>
          </cell>
          <cell r="L31" t="str">
            <v>n/a</v>
          </cell>
          <cell r="M31">
            <v>0</v>
          </cell>
          <cell r="N31" t="str">
            <v>n/a</v>
          </cell>
          <cell r="O31">
            <v>0</v>
          </cell>
          <cell r="P31" t="str">
            <v>n/a</v>
          </cell>
          <cell r="Q31" t="e">
            <v>#REF!</v>
          </cell>
          <cell r="R31" t="str">
            <v>n/a</v>
          </cell>
          <cell r="S31" t="e">
            <v>#REF!</v>
          </cell>
          <cell r="T31" t="str">
            <v>n/a</v>
          </cell>
        </row>
        <row r="32">
          <cell r="C32">
            <v>0</v>
          </cell>
          <cell r="D32">
            <v>0</v>
          </cell>
          <cell r="E32">
            <v>0</v>
          </cell>
          <cell r="G32">
            <v>0</v>
          </cell>
          <cell r="H32">
            <v>0</v>
          </cell>
          <cell r="I32">
            <v>0</v>
          </cell>
          <cell r="K32">
            <v>0</v>
          </cell>
          <cell r="L32" t="str">
            <v>n/a</v>
          </cell>
          <cell r="M32">
            <v>0</v>
          </cell>
          <cell r="N32" t="str">
            <v>n/a</v>
          </cell>
          <cell r="O32">
            <v>0</v>
          </cell>
          <cell r="P32" t="str">
            <v>n/a</v>
          </cell>
          <cell r="Q32" t="e">
            <v>#REF!</v>
          </cell>
          <cell r="R32" t="str">
            <v>n/a</v>
          </cell>
          <cell r="S32" t="e">
            <v>#REF!</v>
          </cell>
          <cell r="T32" t="str">
            <v>n/a</v>
          </cell>
        </row>
        <row r="33">
          <cell r="C33">
            <v>0</v>
          </cell>
          <cell r="D33">
            <v>0</v>
          </cell>
          <cell r="E33">
            <v>0</v>
          </cell>
          <cell r="G33">
            <v>0</v>
          </cell>
          <cell r="H33">
            <v>0</v>
          </cell>
          <cell r="I33">
            <v>0</v>
          </cell>
          <cell r="K33">
            <v>0</v>
          </cell>
          <cell r="L33" t="str">
            <v>n/a</v>
          </cell>
          <cell r="M33">
            <v>0</v>
          </cell>
          <cell r="N33" t="str">
            <v>n/a</v>
          </cell>
          <cell r="O33">
            <v>0</v>
          </cell>
          <cell r="P33" t="str">
            <v>n/a</v>
          </cell>
          <cell r="Q33" t="e">
            <v>#REF!</v>
          </cell>
          <cell r="R33" t="str">
            <v>n/a</v>
          </cell>
          <cell r="S33" t="e">
            <v>#REF!</v>
          </cell>
          <cell r="T33" t="str">
            <v>n/a</v>
          </cell>
        </row>
        <row r="34">
          <cell r="C34">
            <v>0</v>
          </cell>
          <cell r="D34">
            <v>0</v>
          </cell>
          <cell r="E34">
            <v>0</v>
          </cell>
          <cell r="G34">
            <v>0</v>
          </cell>
          <cell r="H34">
            <v>0</v>
          </cell>
          <cell r="I34">
            <v>0</v>
          </cell>
          <cell r="K34">
            <v>0</v>
          </cell>
          <cell r="L34" t="str">
            <v>n/a</v>
          </cell>
          <cell r="M34">
            <v>0</v>
          </cell>
          <cell r="N34" t="str">
            <v>n/a</v>
          </cell>
          <cell r="O34">
            <v>0</v>
          </cell>
          <cell r="P34" t="str">
            <v>n/a</v>
          </cell>
          <cell r="Q34" t="e">
            <v>#REF!</v>
          </cell>
          <cell r="R34" t="str">
            <v>n/a</v>
          </cell>
          <cell r="S34" t="e">
            <v>#REF!</v>
          </cell>
          <cell r="T34" t="str">
            <v>n/a</v>
          </cell>
        </row>
        <row r="35">
          <cell r="C35">
            <v>0</v>
          </cell>
          <cell r="D35">
            <v>0</v>
          </cell>
          <cell r="E35">
            <v>0</v>
          </cell>
          <cell r="G35">
            <v>0</v>
          </cell>
          <cell r="H35">
            <v>0</v>
          </cell>
          <cell r="I35">
            <v>0</v>
          </cell>
          <cell r="K35">
            <v>0</v>
          </cell>
          <cell r="L35" t="str">
            <v>n/a</v>
          </cell>
          <cell r="M35">
            <v>0</v>
          </cell>
          <cell r="N35" t="str">
            <v>n/a</v>
          </cell>
          <cell r="O35">
            <v>0</v>
          </cell>
          <cell r="P35" t="str">
            <v>n/a</v>
          </cell>
          <cell r="Q35" t="e">
            <v>#REF!</v>
          </cell>
          <cell r="R35" t="str">
            <v>n/a</v>
          </cell>
          <cell r="S35" t="e">
            <v>#REF!</v>
          </cell>
          <cell r="T35" t="str">
            <v>n/a</v>
          </cell>
        </row>
        <row r="36">
          <cell r="C36">
            <v>0</v>
          </cell>
          <cell r="D36">
            <v>0</v>
          </cell>
          <cell r="E36">
            <v>0</v>
          </cell>
          <cell r="G36">
            <v>0</v>
          </cell>
          <cell r="H36">
            <v>0</v>
          </cell>
          <cell r="I36">
            <v>0</v>
          </cell>
          <cell r="K36">
            <v>0</v>
          </cell>
          <cell r="L36" t="str">
            <v>n/a</v>
          </cell>
          <cell r="M36">
            <v>0</v>
          </cell>
          <cell r="N36" t="str">
            <v>n/a</v>
          </cell>
          <cell r="O36">
            <v>0</v>
          </cell>
          <cell r="P36" t="str">
            <v>n/a</v>
          </cell>
          <cell r="Q36" t="e">
            <v>#REF!</v>
          </cell>
          <cell r="R36" t="str">
            <v>n/a</v>
          </cell>
          <cell r="S36" t="e">
            <v>#REF!</v>
          </cell>
          <cell r="T36" t="str">
            <v>n/a</v>
          </cell>
        </row>
        <row r="38">
          <cell r="C38">
            <v>194.51247000000004</v>
          </cell>
          <cell r="D38">
            <v>276.7161001783212</v>
          </cell>
          <cell r="E38">
            <v>-82.203630178321163</v>
          </cell>
          <cell r="G38">
            <v>1030.4258600000003</v>
          </cell>
          <cell r="H38">
            <v>1255.9587672016298</v>
          </cell>
          <cell r="I38">
            <v>-225.53290720162954</v>
          </cell>
          <cell r="K38">
            <v>-82.203630178321163</v>
          </cell>
          <cell r="L38">
            <v>0.42261367704765229</v>
          </cell>
          <cell r="M38">
            <v>-753.70975982167909</v>
          </cell>
          <cell r="N38">
            <v>2.7237654742025272</v>
          </cell>
          <cell r="O38">
            <v>-225.53290720162954</v>
          </cell>
          <cell r="P38">
            <v>0.21887349294749803</v>
          </cell>
          <cell r="Q38" t="e">
            <v>#REF!</v>
          </cell>
          <cell r="R38" t="str">
            <v>n/a</v>
          </cell>
          <cell r="S38" t="e">
            <v>#REF!</v>
          </cell>
          <cell r="T38" t="str">
            <v>n/a</v>
          </cell>
        </row>
        <row r="40">
          <cell r="C40">
            <v>0</v>
          </cell>
          <cell r="D40">
            <v>0</v>
          </cell>
          <cell r="E40">
            <v>0</v>
          </cell>
          <cell r="G40">
            <v>0</v>
          </cell>
          <cell r="H40">
            <v>0</v>
          </cell>
          <cell r="I40">
            <v>0</v>
          </cell>
          <cell r="K40">
            <v>0</v>
          </cell>
          <cell r="L40" t="str">
            <v>n/a</v>
          </cell>
          <cell r="M40">
            <v>0</v>
          </cell>
          <cell r="N40" t="str">
            <v>n/a</v>
          </cell>
          <cell r="O40">
            <v>0</v>
          </cell>
          <cell r="P40" t="str">
            <v>n/a</v>
          </cell>
          <cell r="Q40" t="e">
            <v>#REF!</v>
          </cell>
          <cell r="R40" t="str">
            <v>n/a</v>
          </cell>
          <cell r="S40" t="e">
            <v>#REF!</v>
          </cell>
          <cell r="T40" t="str">
            <v>n/a</v>
          </cell>
        </row>
        <row r="41">
          <cell r="C41">
            <v>0</v>
          </cell>
          <cell r="D41">
            <v>34</v>
          </cell>
          <cell r="E41">
            <v>-34</v>
          </cell>
          <cell r="G41">
            <v>0</v>
          </cell>
          <cell r="H41">
            <v>135</v>
          </cell>
          <cell r="I41">
            <v>-135</v>
          </cell>
          <cell r="K41">
            <v>-34</v>
          </cell>
          <cell r="L41" t="str">
            <v>n/a</v>
          </cell>
          <cell r="M41">
            <v>34</v>
          </cell>
          <cell r="N41">
            <v>-1</v>
          </cell>
          <cell r="O41">
            <v>-135</v>
          </cell>
          <cell r="P41" t="str">
            <v>n/a</v>
          </cell>
          <cell r="Q41" t="e">
            <v>#REF!</v>
          </cell>
          <cell r="R41" t="str">
            <v>n/a</v>
          </cell>
          <cell r="S41" t="e">
            <v>#REF!</v>
          </cell>
          <cell r="T41" t="str">
            <v>n/a</v>
          </cell>
        </row>
        <row r="42">
          <cell r="C42">
            <v>0</v>
          </cell>
          <cell r="D42">
            <v>0</v>
          </cell>
          <cell r="E42">
            <v>0</v>
          </cell>
          <cell r="G42">
            <v>0</v>
          </cell>
          <cell r="H42">
            <v>0</v>
          </cell>
          <cell r="I42">
            <v>0</v>
          </cell>
          <cell r="K42">
            <v>0</v>
          </cell>
          <cell r="L42" t="str">
            <v>n/a</v>
          </cell>
          <cell r="M42">
            <v>0</v>
          </cell>
          <cell r="N42" t="str">
            <v>n/a</v>
          </cell>
          <cell r="O42">
            <v>0</v>
          </cell>
          <cell r="P42" t="str">
            <v>n/a</v>
          </cell>
          <cell r="Q42" t="e">
            <v>#REF!</v>
          </cell>
          <cell r="R42" t="str">
            <v>n/a</v>
          </cell>
          <cell r="S42" t="e">
            <v>#REF!</v>
          </cell>
          <cell r="T42" t="str">
            <v>n/a</v>
          </cell>
        </row>
        <row r="43">
          <cell r="C43">
            <v>0</v>
          </cell>
          <cell r="D43">
            <v>34</v>
          </cell>
          <cell r="E43">
            <v>-34</v>
          </cell>
          <cell r="G43">
            <v>0</v>
          </cell>
          <cell r="H43">
            <v>135</v>
          </cell>
          <cell r="I43">
            <v>-135</v>
          </cell>
          <cell r="K43">
            <v>-34</v>
          </cell>
          <cell r="L43" t="str">
            <v>n/a</v>
          </cell>
          <cell r="M43">
            <v>34</v>
          </cell>
          <cell r="N43">
            <v>-1</v>
          </cell>
          <cell r="O43">
            <v>-135</v>
          </cell>
          <cell r="P43" t="str">
            <v>n/a</v>
          </cell>
          <cell r="Q43" t="e">
            <v>#REF!</v>
          </cell>
          <cell r="R43" t="str">
            <v>n/a</v>
          </cell>
          <cell r="S43" t="e">
            <v>#REF!</v>
          </cell>
          <cell r="T43" t="str">
            <v>n/a</v>
          </cell>
        </row>
        <row r="44">
          <cell r="C44">
            <v>0</v>
          </cell>
          <cell r="D44">
            <v>0</v>
          </cell>
          <cell r="E44">
            <v>0</v>
          </cell>
          <cell r="G44">
            <v>0</v>
          </cell>
          <cell r="H44">
            <v>0</v>
          </cell>
          <cell r="I44">
            <v>0</v>
          </cell>
          <cell r="K44">
            <v>0</v>
          </cell>
          <cell r="L44" t="str">
            <v>n/a</v>
          </cell>
          <cell r="M44">
            <v>0</v>
          </cell>
          <cell r="N44" t="str">
            <v>n/a</v>
          </cell>
          <cell r="O44">
            <v>0</v>
          </cell>
          <cell r="P44" t="str">
            <v>n/a</v>
          </cell>
          <cell r="Q44" t="e">
            <v>#REF!</v>
          </cell>
          <cell r="R44" t="str">
            <v>n/a</v>
          </cell>
          <cell r="S44" t="e">
            <v>#REF!</v>
          </cell>
          <cell r="T44" t="str">
            <v>n/a</v>
          </cell>
        </row>
        <row r="45">
          <cell r="C45">
            <v>0</v>
          </cell>
          <cell r="D45">
            <v>0</v>
          </cell>
          <cell r="E45">
            <v>0</v>
          </cell>
          <cell r="G45">
            <v>0</v>
          </cell>
          <cell r="H45">
            <v>0</v>
          </cell>
          <cell r="I45">
            <v>0</v>
          </cell>
          <cell r="K45">
            <v>0</v>
          </cell>
          <cell r="L45" t="str">
            <v>n/a</v>
          </cell>
          <cell r="M45">
            <v>0</v>
          </cell>
          <cell r="N45" t="str">
            <v>n/a</v>
          </cell>
          <cell r="O45">
            <v>0</v>
          </cell>
          <cell r="P45" t="str">
            <v>n/a</v>
          </cell>
          <cell r="Q45" t="e">
            <v>#REF!</v>
          </cell>
          <cell r="R45" t="str">
            <v>n/a</v>
          </cell>
          <cell r="S45" t="e">
            <v>#REF!</v>
          </cell>
          <cell r="T45" t="str">
            <v>n/a</v>
          </cell>
        </row>
        <row r="46">
          <cell r="C46">
            <v>0</v>
          </cell>
          <cell r="D46">
            <v>0</v>
          </cell>
          <cell r="E46">
            <v>0</v>
          </cell>
          <cell r="G46">
            <v>0</v>
          </cell>
          <cell r="H46">
            <v>0</v>
          </cell>
          <cell r="I46">
            <v>0</v>
          </cell>
          <cell r="K46">
            <v>0</v>
          </cell>
          <cell r="L46" t="str">
            <v>n/a</v>
          </cell>
          <cell r="M46">
            <v>0</v>
          </cell>
          <cell r="N46" t="str">
            <v>n/a</v>
          </cell>
          <cell r="O46">
            <v>0</v>
          </cell>
          <cell r="P46" t="str">
            <v>n/a</v>
          </cell>
          <cell r="Q46" t="e">
            <v>#REF!</v>
          </cell>
          <cell r="R46" t="str">
            <v>n/a</v>
          </cell>
          <cell r="S46" t="e">
            <v>#REF!</v>
          </cell>
          <cell r="T46" t="str">
            <v>n/a</v>
          </cell>
        </row>
        <row r="47">
          <cell r="C47">
            <v>0</v>
          </cell>
          <cell r="D47">
            <v>0</v>
          </cell>
          <cell r="E47">
            <v>0</v>
          </cell>
          <cell r="G47">
            <v>0</v>
          </cell>
          <cell r="H47">
            <v>0</v>
          </cell>
          <cell r="I47">
            <v>0</v>
          </cell>
          <cell r="K47">
            <v>0</v>
          </cell>
          <cell r="L47" t="str">
            <v>n/a</v>
          </cell>
          <cell r="M47">
            <v>0</v>
          </cell>
          <cell r="N47" t="str">
            <v>n/a</v>
          </cell>
          <cell r="O47">
            <v>0</v>
          </cell>
          <cell r="P47" t="str">
            <v>n/a</v>
          </cell>
          <cell r="Q47" t="e">
            <v>#REF!</v>
          </cell>
          <cell r="R47" t="str">
            <v>n/a</v>
          </cell>
          <cell r="S47" t="e">
            <v>#REF!</v>
          </cell>
          <cell r="T47" t="str">
            <v>n/a</v>
          </cell>
        </row>
        <row r="48">
          <cell r="C48">
            <v>0</v>
          </cell>
          <cell r="D48">
            <v>0</v>
          </cell>
          <cell r="E48">
            <v>0</v>
          </cell>
          <cell r="G48">
            <v>0</v>
          </cell>
          <cell r="H48">
            <v>0</v>
          </cell>
          <cell r="I48">
            <v>0</v>
          </cell>
          <cell r="K48">
            <v>0</v>
          </cell>
          <cell r="L48" t="str">
            <v>n/a</v>
          </cell>
          <cell r="M48">
            <v>0</v>
          </cell>
          <cell r="N48" t="str">
            <v>n/a</v>
          </cell>
          <cell r="O48">
            <v>0</v>
          </cell>
          <cell r="P48" t="str">
            <v>n/a</v>
          </cell>
          <cell r="Q48" t="e">
            <v>#REF!</v>
          </cell>
          <cell r="R48" t="str">
            <v>n/a</v>
          </cell>
          <cell r="S48" t="e">
            <v>#REF!</v>
          </cell>
          <cell r="T48" t="str">
            <v>n/a</v>
          </cell>
        </row>
        <row r="49">
          <cell r="C49">
            <v>-0.31042999999999993</v>
          </cell>
          <cell r="D49">
            <v>0</v>
          </cell>
          <cell r="E49">
            <v>-0.31042999999999993</v>
          </cell>
          <cell r="G49">
            <v>-0.48505000000000004</v>
          </cell>
          <cell r="H49">
            <v>0.46193000000000001</v>
          </cell>
          <cell r="I49">
            <v>-0.94698000000000004</v>
          </cell>
          <cell r="K49">
            <v>-0.31042999999999993</v>
          </cell>
          <cell r="L49">
            <v>-1</v>
          </cell>
          <cell r="M49">
            <v>0.48505000000000004</v>
          </cell>
          <cell r="N49" t="str">
            <v>n/a</v>
          </cell>
          <cell r="O49">
            <v>-0.94698000000000004</v>
          </cell>
          <cell r="P49">
            <v>-1.9523348108442429</v>
          </cell>
          <cell r="Q49" t="e">
            <v>#REF!</v>
          </cell>
          <cell r="R49" t="str">
            <v>n/a</v>
          </cell>
          <cell r="S49" t="e">
            <v>#REF!</v>
          </cell>
          <cell r="T49" t="str">
            <v>n/a</v>
          </cell>
        </row>
        <row r="50">
          <cell r="C50">
            <v>-0.31042999999999993</v>
          </cell>
          <cell r="D50">
            <v>34</v>
          </cell>
          <cell r="E50">
            <v>-34.310429999999997</v>
          </cell>
          <cell r="G50">
            <v>-0.48505000000000004</v>
          </cell>
          <cell r="H50">
            <v>135.46193</v>
          </cell>
          <cell r="I50">
            <v>-135.94698</v>
          </cell>
          <cell r="K50">
            <v>-34.310429999999997</v>
          </cell>
          <cell r="L50" t="str">
            <v>n/a</v>
          </cell>
          <cell r="M50">
            <v>34.485050000000001</v>
          </cell>
          <cell r="N50">
            <v>-1.0142661764705883</v>
          </cell>
          <cell r="O50">
            <v>-135.94698</v>
          </cell>
          <cell r="P50" t="str">
            <v>n/a</v>
          </cell>
          <cell r="Q50" t="e">
            <v>#REF!</v>
          </cell>
          <cell r="R50" t="str">
            <v>n/a</v>
          </cell>
          <cell r="S50" t="e">
            <v>#REF!</v>
          </cell>
          <cell r="T50" t="str">
            <v>n/a</v>
          </cell>
        </row>
        <row r="52">
          <cell r="C52">
            <v>0.10266999999999998</v>
          </cell>
          <cell r="D52">
            <v>98.857380950000007</v>
          </cell>
          <cell r="E52">
            <v>-98.754710950000003</v>
          </cell>
          <cell r="G52">
            <v>1.4096200000000001</v>
          </cell>
          <cell r="H52">
            <v>390.29736595000003</v>
          </cell>
          <cell r="I52">
            <v>-388.88774595000001</v>
          </cell>
          <cell r="K52">
            <v>-98.754710950000003</v>
          </cell>
          <cell r="L52" t="str">
            <v>n/a</v>
          </cell>
          <cell r="M52">
            <v>97.447760950000003</v>
          </cell>
          <cell r="N52">
            <v>-0.98574087249273823</v>
          </cell>
          <cell r="O52">
            <v>-388.88774595000001</v>
          </cell>
          <cell r="P52" t="str">
            <v>n/a</v>
          </cell>
          <cell r="Q52" t="e">
            <v>#REF!</v>
          </cell>
          <cell r="R52" t="str">
            <v>n/a</v>
          </cell>
          <cell r="S52" t="e">
            <v>#REF!</v>
          </cell>
          <cell r="T52" t="str">
            <v>n/a</v>
          </cell>
        </row>
        <row r="53">
          <cell r="C53">
            <v>2.2125500000000002</v>
          </cell>
          <cell r="D53">
            <v>67.639260649999997</v>
          </cell>
          <cell r="E53">
            <v>-65.42671064999999</v>
          </cell>
          <cell r="G53">
            <v>6.1819899999999999</v>
          </cell>
          <cell r="H53">
            <v>266.92979564999996</v>
          </cell>
          <cell r="I53">
            <v>-260.74780564999998</v>
          </cell>
          <cell r="K53">
            <v>-65.42671064999999</v>
          </cell>
          <cell r="L53" t="str">
            <v>n/a</v>
          </cell>
          <cell r="M53">
            <v>61.457270649999998</v>
          </cell>
          <cell r="N53">
            <v>-0.90860352492631802</v>
          </cell>
          <cell r="O53">
            <v>-260.74780564999998</v>
          </cell>
          <cell r="P53" t="str">
            <v>n/a</v>
          </cell>
          <cell r="Q53" t="e">
            <v>#REF!</v>
          </cell>
          <cell r="R53" t="str">
            <v>n/a</v>
          </cell>
          <cell r="S53" t="e">
            <v>#REF!</v>
          </cell>
          <cell r="T53" t="str">
            <v>n/a</v>
          </cell>
        </row>
        <row r="54">
          <cell r="C54">
            <v>0</v>
          </cell>
          <cell r="D54">
            <v>0</v>
          </cell>
          <cell r="E54">
            <v>0</v>
          </cell>
          <cell r="G54">
            <v>0</v>
          </cell>
          <cell r="H54">
            <v>0</v>
          </cell>
          <cell r="I54">
            <v>0</v>
          </cell>
          <cell r="K54">
            <v>0</v>
          </cell>
          <cell r="L54" t="str">
            <v>n/a</v>
          </cell>
          <cell r="M54">
            <v>0</v>
          </cell>
          <cell r="N54" t="str">
            <v>n/a</v>
          </cell>
          <cell r="O54">
            <v>0</v>
          </cell>
          <cell r="P54" t="str">
            <v>n/a</v>
          </cell>
          <cell r="Q54" t="e">
            <v>#REF!</v>
          </cell>
          <cell r="R54" t="str">
            <v>n/a</v>
          </cell>
          <cell r="S54" t="e">
            <v>#REF!</v>
          </cell>
          <cell r="T54" t="str">
            <v>n/a</v>
          </cell>
        </row>
        <row r="55">
          <cell r="C55">
            <v>-8.0784899999999968</v>
          </cell>
          <cell r="D55">
            <v>3.397497838333333</v>
          </cell>
          <cell r="E55">
            <v>-11.47598783833333</v>
          </cell>
          <cell r="F55" t="str">
            <v>% Chg 06 Pr vs 05 A</v>
          </cell>
          <cell r="G55">
            <v>-199.46357000000003</v>
          </cell>
          <cell r="H55">
            <v>-95.216594161666677</v>
          </cell>
          <cell r="I55">
            <v>-104.24697583833336</v>
          </cell>
          <cell r="K55">
            <v>-11.47598783833333</v>
          </cell>
          <cell r="L55">
            <v>-1.4205610006738059</v>
          </cell>
          <cell r="M55">
            <v>202.86106783833335</v>
          </cell>
          <cell r="N55" t="str">
            <v>n/a</v>
          </cell>
          <cell r="O55">
            <v>-104.24697583833336</v>
          </cell>
          <cell r="P55">
            <v>-0.52263666913378382</v>
          </cell>
          <cell r="Q55" t="e">
            <v>#REF!</v>
          </cell>
          <cell r="R55" t="str">
            <v>n/a</v>
          </cell>
          <cell r="S55" t="e">
            <v>#REF!</v>
          </cell>
          <cell r="T55" t="str">
            <v>n/a</v>
          </cell>
        </row>
        <row r="56">
          <cell r="C56">
            <v>2.2515000000000001</v>
          </cell>
          <cell r="D56">
            <v>1.3308996679166669</v>
          </cell>
          <cell r="E56">
            <v>0.92060033208333314</v>
          </cell>
          <cell r="F56" t="str">
            <v>% Chg 05 A vs 04 A</v>
          </cell>
          <cell r="G56">
            <v>10.868539999999999</v>
          </cell>
          <cell r="H56">
            <v>7.1361122929166694</v>
          </cell>
          <cell r="I56">
            <v>3.73242770708333</v>
          </cell>
          <cell r="K56">
            <v>0.92060033208333314</v>
          </cell>
          <cell r="L56">
            <v>-0.40888311440521119</v>
          </cell>
          <cell r="M56">
            <v>-9.537640332083333</v>
          </cell>
          <cell r="N56">
            <v>7.1663105506767053</v>
          </cell>
          <cell r="O56">
            <v>3.73242770708333</v>
          </cell>
          <cell r="P56">
            <v>-0.34341574002426545</v>
          </cell>
          <cell r="Q56" t="e">
            <v>#REF!</v>
          </cell>
          <cell r="R56" t="str">
            <v>n/a</v>
          </cell>
          <cell r="S56" t="e">
            <v>#REF!</v>
          </cell>
          <cell r="T56" t="str">
            <v>n/a</v>
          </cell>
        </row>
        <row r="57">
          <cell r="C57">
            <v>0</v>
          </cell>
          <cell r="D57">
            <v>135.28006040099999</v>
          </cell>
          <cell r="E57">
            <v>-135.28006040099999</v>
          </cell>
          <cell r="G57">
            <v>42.424570000000003</v>
          </cell>
          <cell r="H57">
            <v>497.25055050099996</v>
          </cell>
          <cell r="I57">
            <v>-454.82598050099995</v>
          </cell>
          <cell r="K57">
            <v>-135.28006040099999</v>
          </cell>
          <cell r="L57" t="str">
            <v>n/a</v>
          </cell>
          <cell r="M57">
            <v>92.855490400999983</v>
          </cell>
          <cell r="N57">
            <v>-0.68639450725964934</v>
          </cell>
          <cell r="O57">
            <v>-454.82598050099995</v>
          </cell>
          <cell r="P57" t="str">
            <v>n/a</v>
          </cell>
          <cell r="Q57" t="e">
            <v>#REF!</v>
          </cell>
          <cell r="R57" t="str">
            <v>n/a</v>
          </cell>
          <cell r="S57" t="e">
            <v>#REF!</v>
          </cell>
          <cell r="T57" t="str">
            <v>n/a</v>
          </cell>
        </row>
        <row r="58">
          <cell r="C58">
            <v>18.348419999999994</v>
          </cell>
          <cell r="D58">
            <v>10.816077543833329</v>
          </cell>
          <cell r="E58">
            <v>7.5323424561666652</v>
          </cell>
          <cell r="G58">
            <v>148.63032000000004</v>
          </cell>
          <cell r="H58">
            <v>121.93921859383335</v>
          </cell>
          <cell r="I58">
            <v>26.691101406166695</v>
          </cell>
          <cell r="K58">
            <v>7.5323424561666652</v>
          </cell>
          <cell r="L58">
            <v>-0.41051722470744989</v>
          </cell>
          <cell r="M58">
            <v>-137.81424245616671</v>
          </cell>
          <cell r="N58" t="str">
            <v>n/a</v>
          </cell>
          <cell r="O58">
            <v>26.691101406166695</v>
          </cell>
          <cell r="P58">
            <v>-0.17958046114794535</v>
          </cell>
          <cell r="Q58" t="e">
            <v>#REF!</v>
          </cell>
          <cell r="R58" t="str">
            <v>n/a</v>
          </cell>
          <cell r="S58" t="e">
            <v>#REF!</v>
          </cell>
          <cell r="T58" t="str">
            <v>n/a</v>
          </cell>
        </row>
        <row r="59">
          <cell r="C59">
            <v>0</v>
          </cell>
          <cell r="D59">
            <v>0</v>
          </cell>
          <cell r="E59">
            <v>0</v>
          </cell>
          <cell r="G59">
            <v>0</v>
          </cell>
          <cell r="H59">
            <v>0</v>
          </cell>
          <cell r="I59">
            <v>0</v>
          </cell>
          <cell r="K59">
            <v>0</v>
          </cell>
          <cell r="L59" t="str">
            <v>n/a</v>
          </cell>
          <cell r="M59">
            <v>0</v>
          </cell>
          <cell r="N59" t="str">
            <v>n/a</v>
          </cell>
          <cell r="O59">
            <v>0</v>
          </cell>
          <cell r="P59" t="str">
            <v>n/a</v>
          </cell>
          <cell r="Q59" t="e">
            <v>#REF!</v>
          </cell>
          <cell r="R59" t="str">
            <v>n/a</v>
          </cell>
          <cell r="S59" t="e">
            <v>#REF!</v>
          </cell>
          <cell r="T59" t="str">
            <v>n/a</v>
          </cell>
        </row>
        <row r="60">
          <cell r="C60">
            <v>0</v>
          </cell>
          <cell r="D60">
            <v>0</v>
          </cell>
          <cell r="E60">
            <v>0</v>
          </cell>
          <cell r="G60">
            <v>0</v>
          </cell>
          <cell r="H60">
            <v>0</v>
          </cell>
          <cell r="I60">
            <v>0</v>
          </cell>
          <cell r="K60">
            <v>0</v>
          </cell>
          <cell r="L60" t="str">
            <v>n/a</v>
          </cell>
          <cell r="M60">
            <v>0</v>
          </cell>
          <cell r="N60" t="str">
            <v>n/a</v>
          </cell>
          <cell r="O60">
            <v>0</v>
          </cell>
          <cell r="P60" t="str">
            <v>n/a</v>
          </cell>
          <cell r="Q60" t="e">
            <v>#REF!</v>
          </cell>
          <cell r="R60" t="str">
            <v>n/a</v>
          </cell>
          <cell r="S60" t="e">
            <v>#REF!</v>
          </cell>
          <cell r="T60" t="str">
            <v>n/a</v>
          </cell>
        </row>
        <row r="61">
          <cell r="C61">
            <v>8.5779999999999994</v>
          </cell>
          <cell r="D61">
            <v>5.4593850249999987</v>
          </cell>
          <cell r="E61">
            <v>3.1186149750000007</v>
          </cell>
          <cell r="G61">
            <v>42.89846</v>
          </cell>
          <cell r="H61">
            <v>32.441082524999999</v>
          </cell>
          <cell r="I61">
            <v>10.457377475000001</v>
          </cell>
          <cell r="K61">
            <v>3.1186149750000007</v>
          </cell>
          <cell r="L61">
            <v>-0.36355968465842869</v>
          </cell>
          <cell r="M61">
            <v>-37.439074975000004</v>
          </cell>
          <cell r="N61">
            <v>6.857745845650447</v>
          </cell>
          <cell r="O61">
            <v>10.457377475000001</v>
          </cell>
          <cell r="P61">
            <v>-0.24377046343854769</v>
          </cell>
          <cell r="Q61" t="e">
            <v>#REF!</v>
          </cell>
          <cell r="R61" t="str">
            <v>n/a</v>
          </cell>
          <cell r="S61" t="e">
            <v>#REF!</v>
          </cell>
          <cell r="T61" t="str">
            <v>n/a</v>
          </cell>
        </row>
        <row r="62">
          <cell r="C62">
            <v>22.0425</v>
          </cell>
          <cell r="D62">
            <v>33.130666666666627</v>
          </cell>
          <cell r="E62">
            <v>-11.088166666666627</v>
          </cell>
          <cell r="G62">
            <v>110.89623</v>
          </cell>
          <cell r="H62">
            <v>155.67755666666653</v>
          </cell>
          <cell r="I62">
            <v>-44.78132666666653</v>
          </cell>
          <cell r="K62">
            <v>-11.088166666666627</v>
          </cell>
          <cell r="L62">
            <v>0.50303580204907017</v>
          </cell>
          <cell r="M62">
            <v>-77.765563333333375</v>
          </cell>
          <cell r="N62">
            <v>2.3472381076947881</v>
          </cell>
          <cell r="O62">
            <v>-44.78132666666653</v>
          </cell>
          <cell r="P62">
            <v>0.40381288585433905</v>
          </cell>
          <cell r="Q62" t="e">
            <v>#REF!</v>
          </cell>
          <cell r="R62" t="str">
            <v>n/a</v>
          </cell>
          <cell r="S62" t="e">
            <v>#REF!</v>
          </cell>
          <cell r="T62" t="str">
            <v>n/a</v>
          </cell>
        </row>
        <row r="63">
          <cell r="C63">
            <v>-0.1421</v>
          </cell>
          <cell r="D63">
            <v>0</v>
          </cell>
          <cell r="E63">
            <v>-0.1421</v>
          </cell>
          <cell r="G63">
            <v>-0.53188999999999986</v>
          </cell>
          <cell r="H63">
            <v>-7.7189999999999995E-2</v>
          </cell>
          <cell r="I63">
            <v>-0.45469999999999988</v>
          </cell>
          <cell r="K63">
            <v>-0.1421</v>
          </cell>
          <cell r="L63">
            <v>-1</v>
          </cell>
          <cell r="M63">
            <v>0.53188999999999986</v>
          </cell>
          <cell r="N63" t="str">
            <v>n/a</v>
          </cell>
          <cell r="O63">
            <v>-0.45469999999999988</v>
          </cell>
          <cell r="P63">
            <v>-0.85487600819718357</v>
          </cell>
          <cell r="Q63" t="e">
            <v>#REF!</v>
          </cell>
          <cell r="R63" t="str">
            <v>n/a</v>
          </cell>
          <cell r="S63" t="e">
            <v>#REF!</v>
          </cell>
          <cell r="T63" t="str">
            <v>n/a</v>
          </cell>
        </row>
        <row r="64">
          <cell r="C64">
            <v>5.3249700000000013</v>
          </cell>
          <cell r="D64">
            <v>0</v>
          </cell>
          <cell r="E64">
            <v>5.3249700000000013</v>
          </cell>
          <cell r="G64">
            <v>23.910570000000003</v>
          </cell>
          <cell r="H64">
            <v>1.7926691837450248E-23</v>
          </cell>
          <cell r="I64">
            <v>23.910570000000003</v>
          </cell>
          <cell r="K64">
            <v>5.3249700000000013</v>
          </cell>
          <cell r="L64">
            <v>-1</v>
          </cell>
          <cell r="M64">
            <v>-23.910570000000003</v>
          </cell>
          <cell r="N64" t="str">
            <v>n/a</v>
          </cell>
          <cell r="O64">
            <v>23.910570000000003</v>
          </cell>
          <cell r="P64">
            <v>-1</v>
          </cell>
          <cell r="Q64" t="e">
            <v>#REF!</v>
          </cell>
          <cell r="R64" t="str">
            <v>n/a</v>
          </cell>
          <cell r="S64" t="e">
            <v>#REF!</v>
          </cell>
          <cell r="T64" t="str">
            <v>n/a</v>
          </cell>
        </row>
        <row r="65">
          <cell r="C65">
            <v>0</v>
          </cell>
          <cell r="D65">
            <v>0</v>
          </cell>
          <cell r="E65">
            <v>0</v>
          </cell>
          <cell r="G65">
            <v>0.7</v>
          </cell>
          <cell r="H65">
            <v>0.7</v>
          </cell>
          <cell r="I65">
            <v>0</v>
          </cell>
          <cell r="K65">
            <v>0</v>
          </cell>
          <cell r="L65" t="str">
            <v>n/a</v>
          </cell>
          <cell r="M65">
            <v>-0.7</v>
          </cell>
          <cell r="N65" t="str">
            <v>n/a</v>
          </cell>
          <cell r="O65">
            <v>0</v>
          </cell>
          <cell r="P65">
            <v>0</v>
          </cell>
          <cell r="Q65" t="e">
            <v>#REF!</v>
          </cell>
          <cell r="R65" t="str">
            <v>n/a</v>
          </cell>
          <cell r="S65" t="e">
            <v>#REF!</v>
          </cell>
          <cell r="T65" t="str">
            <v>n/a</v>
          </cell>
        </row>
        <row r="66">
          <cell r="C66">
            <v>0</v>
          </cell>
          <cell r="D66">
            <v>0</v>
          </cell>
          <cell r="E66">
            <v>0</v>
          </cell>
          <cell r="G66">
            <v>0</v>
          </cell>
          <cell r="H66">
            <v>0</v>
          </cell>
          <cell r="I66">
            <v>0</v>
          </cell>
          <cell r="K66">
            <v>0</v>
          </cell>
          <cell r="L66" t="str">
            <v>n/a</v>
          </cell>
          <cell r="M66">
            <v>0</v>
          </cell>
          <cell r="N66" t="str">
            <v>n/a</v>
          </cell>
          <cell r="O66">
            <v>0</v>
          </cell>
          <cell r="P66" t="str">
            <v>n/a</v>
          </cell>
          <cell r="Q66" t="e">
            <v>#REF!</v>
          </cell>
          <cell r="R66" t="str">
            <v>n/a</v>
          </cell>
          <cell r="S66" t="e">
            <v>#REF!</v>
          </cell>
          <cell r="T66" t="str">
            <v>n/a</v>
          </cell>
        </row>
        <row r="67">
          <cell r="C67">
            <v>0</v>
          </cell>
          <cell r="D67">
            <v>0</v>
          </cell>
          <cell r="E67">
            <v>0</v>
          </cell>
          <cell r="G67">
            <v>0</v>
          </cell>
          <cell r="H67">
            <v>0</v>
          </cell>
          <cell r="I67">
            <v>0</v>
          </cell>
          <cell r="K67">
            <v>0</v>
          </cell>
          <cell r="L67" t="str">
            <v>n/a</v>
          </cell>
          <cell r="M67">
            <v>0</v>
          </cell>
          <cell r="N67" t="str">
            <v>n/a</v>
          </cell>
          <cell r="O67">
            <v>0</v>
          </cell>
          <cell r="P67" t="str">
            <v>n/a</v>
          </cell>
          <cell r="Q67" t="e">
            <v>#REF!</v>
          </cell>
          <cell r="R67" t="str">
            <v>n/a</v>
          </cell>
          <cell r="S67" t="e">
            <v>#REF!</v>
          </cell>
          <cell r="T67" t="str">
            <v>n/a</v>
          </cell>
        </row>
        <row r="68">
          <cell r="C68">
            <v>0.30599999999999999</v>
          </cell>
          <cell r="D68">
            <v>8.4969636403333411</v>
          </cell>
          <cell r="E68">
            <v>-8.1909636403333419</v>
          </cell>
          <cell r="G68">
            <v>1.3324099999999999</v>
          </cell>
          <cell r="H68">
            <v>34.147806840333359</v>
          </cell>
          <cell r="I68">
            <v>-32.815396840333356</v>
          </cell>
          <cell r="K68">
            <v>-8.1909636403333419</v>
          </cell>
          <cell r="L68" t="str">
            <v>n/a</v>
          </cell>
          <cell r="M68">
            <v>7.1645536403333416</v>
          </cell>
          <cell r="N68">
            <v>-0.8431898668278015</v>
          </cell>
          <cell r="O68">
            <v>-32.815396840333356</v>
          </cell>
          <cell r="P68" t="str">
            <v>n/a</v>
          </cell>
          <cell r="Q68" t="e">
            <v>#REF!</v>
          </cell>
          <cell r="R68" t="str">
            <v>n/a</v>
          </cell>
          <cell r="S68" t="e">
            <v>#REF!</v>
          </cell>
          <cell r="T68" t="str">
            <v>n/a</v>
          </cell>
        </row>
        <row r="69">
          <cell r="C69">
            <v>6.6526899999999998</v>
          </cell>
          <cell r="D69">
            <v>15.317484768166668</v>
          </cell>
          <cell r="E69">
            <v>-8.6647947681666686</v>
          </cell>
          <cell r="G69">
            <v>59.375349999999997</v>
          </cell>
          <cell r="H69">
            <v>96.480837418166701</v>
          </cell>
          <cell r="I69">
            <v>-37.105487418166703</v>
          </cell>
          <cell r="K69">
            <v>-8.6647947681666686</v>
          </cell>
          <cell r="L69">
            <v>1.3024498012332861</v>
          </cell>
          <cell r="M69">
            <v>-44.057865231833333</v>
          </cell>
          <cell r="N69">
            <v>2.8763119989122448</v>
          </cell>
          <cell r="O69">
            <v>-37.105487418166703</v>
          </cell>
          <cell r="P69">
            <v>0.62493084113469144</v>
          </cell>
          <cell r="Q69" t="e">
            <v>#REF!</v>
          </cell>
          <cell r="R69" t="str">
            <v>n/a</v>
          </cell>
          <cell r="S69" t="e">
            <v>#REF!</v>
          </cell>
          <cell r="T69" t="str">
            <v>n/a</v>
          </cell>
        </row>
        <row r="70">
          <cell r="C70">
            <v>0</v>
          </cell>
          <cell r="D70">
            <v>0</v>
          </cell>
          <cell r="E70">
            <v>0</v>
          </cell>
          <cell r="G70">
            <v>0</v>
          </cell>
          <cell r="H70">
            <v>0</v>
          </cell>
          <cell r="I70">
            <v>0</v>
          </cell>
          <cell r="K70">
            <v>0</v>
          </cell>
          <cell r="L70" t="str">
            <v>n/a</v>
          </cell>
          <cell r="M70">
            <v>0</v>
          </cell>
          <cell r="N70" t="str">
            <v>n/a</v>
          </cell>
          <cell r="O70">
            <v>0</v>
          </cell>
          <cell r="P70" t="str">
            <v>n/a</v>
          </cell>
          <cell r="Q70" t="e">
            <v>#REF!</v>
          </cell>
          <cell r="R70" t="str">
            <v>n/a</v>
          </cell>
          <cell r="S70" t="e">
            <v>#REF!</v>
          </cell>
          <cell r="T70" t="str">
            <v>n/a</v>
          </cell>
        </row>
        <row r="71">
          <cell r="C71">
            <v>0.41799999999999998</v>
          </cell>
          <cell r="D71">
            <v>11.710946033833331</v>
          </cell>
          <cell r="E71">
            <v>-11.292946033833331</v>
          </cell>
          <cell r="G71">
            <v>11.651689999999997</v>
          </cell>
          <cell r="H71">
            <v>57.762403583833319</v>
          </cell>
          <cell r="I71">
            <v>-46.110713583833324</v>
          </cell>
          <cell r="K71">
            <v>-11.292946033833331</v>
          </cell>
          <cell r="L71" t="str">
            <v>n/a</v>
          </cell>
          <cell r="M71">
            <v>5.9256033833333888E-2</v>
          </cell>
          <cell r="N71">
            <v>-5.0598844587056435E-3</v>
          </cell>
          <cell r="O71">
            <v>-46.110713583833324</v>
          </cell>
          <cell r="P71">
            <v>3.9574270842970707</v>
          </cell>
          <cell r="Q71" t="e">
            <v>#REF!</v>
          </cell>
          <cell r="R71" t="str">
            <v>n/a</v>
          </cell>
          <cell r="S71" t="e">
            <v>#REF!</v>
          </cell>
          <cell r="T71" t="str">
            <v>n/a</v>
          </cell>
        </row>
        <row r="72">
          <cell r="C72">
            <v>0</v>
          </cell>
          <cell r="D72">
            <v>0</v>
          </cell>
          <cell r="E72">
            <v>0</v>
          </cell>
          <cell r="G72">
            <v>0</v>
          </cell>
          <cell r="H72">
            <v>0</v>
          </cell>
          <cell r="I72">
            <v>0</v>
          </cell>
          <cell r="K72">
            <v>0</v>
          </cell>
          <cell r="L72" t="str">
            <v>n/a</v>
          </cell>
          <cell r="M72">
            <v>0</v>
          </cell>
          <cell r="N72" t="str">
            <v>n/a</v>
          </cell>
          <cell r="O72">
            <v>0</v>
          </cell>
          <cell r="P72" t="str">
            <v>n/a</v>
          </cell>
          <cell r="Q72" t="e">
            <v>#REF!</v>
          </cell>
          <cell r="R72" t="str">
            <v>n/a</v>
          </cell>
          <cell r="S72" t="e">
            <v>#REF!</v>
          </cell>
          <cell r="T72" t="str">
            <v>n/a</v>
          </cell>
        </row>
        <row r="73">
          <cell r="C73">
            <v>2.1884000000000001</v>
          </cell>
          <cell r="D73">
            <v>13.19818666666667</v>
          </cell>
          <cell r="E73">
            <v>-11.00978666666667</v>
          </cell>
          <cell r="G73">
            <v>8.4704899999999999</v>
          </cell>
          <cell r="H73">
            <v>54.894676666666683</v>
          </cell>
          <cell r="I73">
            <v>-46.424186666666685</v>
          </cell>
          <cell r="K73">
            <v>-11.00978666666667</v>
          </cell>
          <cell r="L73">
            <v>5.0309754462925742</v>
          </cell>
          <cell r="M73">
            <v>4.7276966666666702</v>
          </cell>
          <cell r="N73">
            <v>-0.35820804676197959</v>
          </cell>
          <cell r="O73">
            <v>-46.424186666666685</v>
          </cell>
          <cell r="P73">
            <v>5.4806967090058167</v>
          </cell>
          <cell r="Q73" t="e">
            <v>#REF!</v>
          </cell>
          <cell r="R73" t="str">
            <v>n/a</v>
          </cell>
          <cell r="S73" t="e">
            <v>#REF!</v>
          </cell>
          <cell r="T73" t="str">
            <v>n/a</v>
          </cell>
        </row>
        <row r="74">
          <cell r="C74">
            <v>59.894680000000001</v>
          </cell>
          <cell r="D74">
            <v>438.63480985174994</v>
          </cell>
          <cell r="E74">
            <v>-378.74012985174994</v>
          </cell>
          <cell r="G74">
            <v>268.26972999999998</v>
          </cell>
          <cell r="H74">
            <v>1755.8255525267498</v>
          </cell>
          <cell r="I74">
            <v>-1487.5558225267498</v>
          </cell>
          <cell r="K74">
            <v>-378.74012985174994</v>
          </cell>
          <cell r="L74">
            <v>6.3234352341768902</v>
          </cell>
          <cell r="M74">
            <v>170.36507985174995</v>
          </cell>
          <cell r="N74">
            <v>-0.38839844906365284</v>
          </cell>
          <cell r="O74">
            <v>-1487.5558225267498</v>
          </cell>
          <cell r="P74">
            <v>5.5450006324856327</v>
          </cell>
          <cell r="Q74" t="e">
            <v>#REF!</v>
          </cell>
          <cell r="R74" t="str">
            <v>n/a</v>
          </cell>
          <cell r="S74" t="e">
            <v>#REF!</v>
          </cell>
          <cell r="T74" t="str">
            <v>n/a</v>
          </cell>
        </row>
        <row r="76">
          <cell r="C76">
            <v>0</v>
          </cell>
          <cell r="D76">
            <v>0</v>
          </cell>
          <cell r="E76">
            <v>0</v>
          </cell>
          <cell r="G76">
            <v>0</v>
          </cell>
          <cell r="H76">
            <v>0</v>
          </cell>
          <cell r="I76">
            <v>0</v>
          </cell>
          <cell r="K76">
            <v>0</v>
          </cell>
          <cell r="L76" t="str">
            <v>n/a</v>
          </cell>
          <cell r="M76">
            <v>0</v>
          </cell>
          <cell r="N76" t="str">
            <v>n/a</v>
          </cell>
          <cell r="O76">
            <v>0</v>
          </cell>
          <cell r="P76" t="str">
            <v>n/a</v>
          </cell>
          <cell r="Q76" t="e">
            <v>#REF!</v>
          </cell>
          <cell r="R76" t="str">
            <v>n/a</v>
          </cell>
          <cell r="S76" t="e">
            <v>#REF!</v>
          </cell>
          <cell r="T76" t="str">
            <v>n/a</v>
          </cell>
        </row>
        <row r="77">
          <cell r="C77">
            <v>0</v>
          </cell>
          <cell r="D77">
            <v>0</v>
          </cell>
          <cell r="E77">
            <v>0</v>
          </cell>
          <cell r="G77">
            <v>0</v>
          </cell>
          <cell r="H77">
            <v>0</v>
          </cell>
          <cell r="I77">
            <v>0</v>
          </cell>
          <cell r="K77">
            <v>0</v>
          </cell>
          <cell r="L77" t="str">
            <v>n/a</v>
          </cell>
          <cell r="M77">
            <v>0</v>
          </cell>
          <cell r="N77" t="str">
            <v>n/a</v>
          </cell>
          <cell r="O77">
            <v>0</v>
          </cell>
          <cell r="P77" t="str">
            <v>n/a</v>
          </cell>
          <cell r="Q77" t="e">
            <v>#REF!</v>
          </cell>
          <cell r="R77" t="str">
            <v>n/a</v>
          </cell>
          <cell r="S77" t="e">
            <v>#REF!</v>
          </cell>
          <cell r="T77" t="str">
            <v>n/a</v>
          </cell>
        </row>
        <row r="78">
          <cell r="C78">
            <v>0</v>
          </cell>
          <cell r="D78">
            <v>0</v>
          </cell>
          <cell r="E78">
            <v>0</v>
          </cell>
          <cell r="G78">
            <v>0</v>
          </cell>
          <cell r="H78">
            <v>0</v>
          </cell>
          <cell r="I78">
            <v>0</v>
          </cell>
          <cell r="K78">
            <v>0</v>
          </cell>
          <cell r="L78" t="str">
            <v>n/a</v>
          </cell>
          <cell r="M78">
            <v>0</v>
          </cell>
          <cell r="N78" t="str">
            <v>n/a</v>
          </cell>
          <cell r="O78">
            <v>0</v>
          </cell>
          <cell r="P78" t="str">
            <v>n/a</v>
          </cell>
          <cell r="Q78" t="e">
            <v>#REF!</v>
          </cell>
          <cell r="R78" t="str">
            <v>n/a</v>
          </cell>
          <cell r="S78" t="e">
            <v>#REF!</v>
          </cell>
          <cell r="T78" t="str">
            <v>n/a</v>
          </cell>
        </row>
        <row r="79">
          <cell r="C79">
            <v>0</v>
          </cell>
          <cell r="D79">
            <v>0</v>
          </cell>
          <cell r="E79">
            <v>0</v>
          </cell>
          <cell r="G79">
            <v>0</v>
          </cell>
          <cell r="H79">
            <v>0</v>
          </cell>
          <cell r="I79">
            <v>0</v>
          </cell>
          <cell r="K79">
            <v>0</v>
          </cell>
          <cell r="L79" t="str">
            <v>n/a</v>
          </cell>
          <cell r="M79">
            <v>0</v>
          </cell>
          <cell r="N79" t="str">
            <v>n/a</v>
          </cell>
          <cell r="O79">
            <v>0</v>
          </cell>
          <cell r="P79" t="str">
            <v>n/a</v>
          </cell>
          <cell r="Q79" t="e">
            <v>#REF!</v>
          </cell>
          <cell r="R79" t="str">
            <v>n/a</v>
          </cell>
          <cell r="S79" t="e">
            <v>#REF!</v>
          </cell>
          <cell r="T79" t="str">
            <v>n/a</v>
          </cell>
        </row>
        <row r="80">
          <cell r="C80">
            <v>0</v>
          </cell>
          <cell r="D80">
            <v>0</v>
          </cell>
          <cell r="E80">
            <v>0</v>
          </cell>
          <cell r="G80">
            <v>0</v>
          </cell>
          <cell r="H80">
            <v>-16.069860000000002</v>
          </cell>
          <cell r="I80">
            <v>16.069860000000002</v>
          </cell>
          <cell r="K80">
            <v>0</v>
          </cell>
          <cell r="L80" t="str">
            <v>n/a</v>
          </cell>
          <cell r="M80">
            <v>0</v>
          </cell>
          <cell r="N80" t="str">
            <v>n/a</v>
          </cell>
          <cell r="O80">
            <v>16.069860000000002</v>
          </cell>
          <cell r="P80" t="str">
            <v>n/a</v>
          </cell>
          <cell r="Q80" t="e">
            <v>#REF!</v>
          </cell>
          <cell r="R80" t="str">
            <v>n/a</v>
          </cell>
          <cell r="S80" t="e">
            <v>#REF!</v>
          </cell>
          <cell r="T80" t="str">
            <v>n/a</v>
          </cell>
        </row>
        <row r="81">
          <cell r="C81">
            <v>24.13945</v>
          </cell>
          <cell r="D81">
            <v>0</v>
          </cell>
          <cell r="E81">
            <v>24.13945</v>
          </cell>
          <cell r="G81">
            <v>107.87206</v>
          </cell>
          <cell r="H81">
            <v>0</v>
          </cell>
          <cell r="I81">
            <v>107.87206</v>
          </cell>
          <cell r="K81">
            <v>24.13945</v>
          </cell>
          <cell r="L81">
            <v>-1</v>
          </cell>
          <cell r="M81">
            <v>-107.87206</v>
          </cell>
          <cell r="N81" t="str">
            <v>n/a</v>
          </cell>
          <cell r="O81">
            <v>107.87206</v>
          </cell>
          <cell r="P81">
            <v>-1</v>
          </cell>
          <cell r="Q81" t="e">
            <v>#REF!</v>
          </cell>
          <cell r="R81" t="str">
            <v>n/a</v>
          </cell>
          <cell r="S81" t="e">
            <v>#REF!</v>
          </cell>
          <cell r="T81" t="str">
            <v>n/a</v>
          </cell>
        </row>
        <row r="82">
          <cell r="C82">
            <v>0</v>
          </cell>
          <cell r="D82">
            <v>0</v>
          </cell>
          <cell r="E82">
            <v>0</v>
          </cell>
          <cell r="G82">
            <v>0</v>
          </cell>
          <cell r="H82">
            <v>0</v>
          </cell>
          <cell r="I82">
            <v>0</v>
          </cell>
          <cell r="K82">
            <v>0</v>
          </cell>
          <cell r="L82" t="str">
            <v>n/a</v>
          </cell>
          <cell r="M82">
            <v>0</v>
          </cell>
          <cell r="N82" t="str">
            <v>n/a</v>
          </cell>
          <cell r="O82">
            <v>0</v>
          </cell>
          <cell r="P82" t="str">
            <v>n/a</v>
          </cell>
          <cell r="Q82" t="e">
            <v>#REF!</v>
          </cell>
          <cell r="R82" t="str">
            <v>n/a</v>
          </cell>
          <cell r="S82" t="e">
            <v>#REF!</v>
          </cell>
          <cell r="T82" t="str">
            <v>n/a</v>
          </cell>
        </row>
        <row r="83">
          <cell r="C83">
            <v>0</v>
          </cell>
          <cell r="D83">
            <v>0</v>
          </cell>
          <cell r="E83">
            <v>0</v>
          </cell>
          <cell r="G83">
            <v>0</v>
          </cell>
          <cell r="H83">
            <v>0</v>
          </cell>
          <cell r="I83">
            <v>0</v>
          </cell>
          <cell r="K83">
            <v>0</v>
          </cell>
          <cell r="L83" t="str">
            <v>n/a</v>
          </cell>
          <cell r="M83">
            <v>0</v>
          </cell>
          <cell r="N83" t="str">
            <v>n/a</v>
          </cell>
          <cell r="O83">
            <v>0</v>
          </cell>
          <cell r="P83" t="str">
            <v>n/a</v>
          </cell>
          <cell r="Q83" t="e">
            <v>#REF!</v>
          </cell>
          <cell r="R83" t="str">
            <v>n/a</v>
          </cell>
          <cell r="S83" t="e">
            <v>#REF!</v>
          </cell>
          <cell r="T83" t="str">
            <v>n/a</v>
          </cell>
        </row>
        <row r="84">
          <cell r="C84">
            <v>0</v>
          </cell>
          <cell r="D84">
            <v>0</v>
          </cell>
          <cell r="E84">
            <v>0</v>
          </cell>
          <cell r="G84">
            <v>0</v>
          </cell>
          <cell r="H84">
            <v>0</v>
          </cell>
          <cell r="I84">
            <v>0</v>
          </cell>
          <cell r="K84">
            <v>0</v>
          </cell>
          <cell r="L84" t="str">
            <v>n/a</v>
          </cell>
          <cell r="M84">
            <v>0</v>
          </cell>
          <cell r="N84" t="str">
            <v>n/a</v>
          </cell>
          <cell r="O84">
            <v>0</v>
          </cell>
          <cell r="P84" t="str">
            <v>n/a</v>
          </cell>
          <cell r="Q84" t="e">
            <v>#REF!</v>
          </cell>
          <cell r="R84" t="str">
            <v>n/a</v>
          </cell>
          <cell r="S84" t="e">
            <v>#REF!</v>
          </cell>
          <cell r="T84" t="str">
            <v>n/a</v>
          </cell>
        </row>
        <row r="85">
          <cell r="C85">
            <v>1.71516</v>
          </cell>
          <cell r="D85">
            <v>30.546742549999994</v>
          </cell>
          <cell r="E85">
            <v>-28.831582549999993</v>
          </cell>
          <cell r="G85">
            <v>2.7385999999999995</v>
          </cell>
          <cell r="H85">
            <v>87.293035050000015</v>
          </cell>
          <cell r="I85">
            <v>-84.554435050000009</v>
          </cell>
          <cell r="K85">
            <v>-28.831582549999993</v>
          </cell>
          <cell r="L85" t="str">
            <v>n/a</v>
          </cell>
          <cell r="M85">
            <v>27.808142549999996</v>
          </cell>
          <cell r="N85">
            <v>-0.91034723275264584</v>
          </cell>
          <cell r="O85">
            <v>-84.554435050000009</v>
          </cell>
          <cell r="P85" t="str">
            <v>n/a</v>
          </cell>
          <cell r="Q85" t="e">
            <v>#REF!</v>
          </cell>
          <cell r="R85" t="str">
            <v>n/a</v>
          </cell>
          <cell r="S85" t="e">
            <v>#REF!</v>
          </cell>
          <cell r="T85" t="str">
            <v>n/a</v>
          </cell>
        </row>
        <row r="86">
          <cell r="C86">
            <v>25.854610000000001</v>
          </cell>
          <cell r="D86">
            <v>30.546742549999994</v>
          </cell>
          <cell r="E86">
            <v>-4.6921325499999931</v>
          </cell>
          <cell r="G86">
            <v>110.61065999999997</v>
          </cell>
          <cell r="H86">
            <v>71.223175050000009</v>
          </cell>
          <cell r="I86">
            <v>39.387484949999958</v>
          </cell>
          <cell r="K86">
            <v>-4.6921325499999931</v>
          </cell>
          <cell r="L86">
            <v>0.18148146694148526</v>
          </cell>
          <cell r="M86">
            <v>-80.063917449999977</v>
          </cell>
          <cell r="N86">
            <v>2.6210296341401547</v>
          </cell>
          <cell r="O86">
            <v>39.387484949999958</v>
          </cell>
          <cell r="P86">
            <v>-0.35609122077383837</v>
          </cell>
          <cell r="Q86" t="e">
            <v>#REF!</v>
          </cell>
          <cell r="R86" t="str">
            <v>n/a</v>
          </cell>
          <cell r="S86" t="e">
            <v>#REF!</v>
          </cell>
          <cell r="T86" t="str">
            <v>n/a</v>
          </cell>
        </row>
        <row r="88">
          <cell r="C88">
            <v>0</v>
          </cell>
          <cell r="D88">
            <v>0</v>
          </cell>
          <cell r="E88">
            <v>0</v>
          </cell>
          <cell r="G88">
            <v>0</v>
          </cell>
          <cell r="H88">
            <v>0</v>
          </cell>
          <cell r="I88">
            <v>0</v>
          </cell>
          <cell r="K88">
            <v>0</v>
          </cell>
          <cell r="L88" t="str">
            <v>n/a</v>
          </cell>
          <cell r="M88">
            <v>0</v>
          </cell>
          <cell r="N88" t="str">
            <v>n/a</v>
          </cell>
          <cell r="O88">
            <v>0</v>
          </cell>
          <cell r="P88" t="str">
            <v>n/a</v>
          </cell>
          <cell r="Q88" t="e">
            <v>#REF!</v>
          </cell>
          <cell r="R88" t="str">
            <v>n/a</v>
          </cell>
          <cell r="S88" t="e">
            <v>#REF!</v>
          </cell>
          <cell r="T88" t="str">
            <v>n/a</v>
          </cell>
        </row>
        <row r="89">
          <cell r="C89">
            <v>280.26176000000004</v>
          </cell>
          <cell r="D89">
            <v>745.89765258007105</v>
          </cell>
          <cell r="E89">
            <v>-465.63589258007102</v>
          </cell>
          <cell r="G89">
            <v>1409.3062500000001</v>
          </cell>
          <cell r="H89">
            <v>3083.0074947783796</v>
          </cell>
          <cell r="I89">
            <v>-1673.7012447783795</v>
          </cell>
          <cell r="K89">
            <v>-465.63589258007102</v>
          </cell>
          <cell r="L89">
            <v>1.6614321289499894</v>
          </cell>
          <cell r="M89">
            <v>-663.40859741992904</v>
          </cell>
          <cell r="N89">
            <v>0.88940968660403863</v>
          </cell>
          <cell r="O89">
            <v>-1673.7012447783795</v>
          </cell>
          <cell r="P89">
            <v>1.1876064870771557</v>
          </cell>
          <cell r="Q89" t="e">
            <v>#REF!</v>
          </cell>
          <cell r="R89" t="str">
            <v>n/a</v>
          </cell>
          <cell r="S89" t="e">
            <v>#REF!</v>
          </cell>
          <cell r="T89" t="str">
            <v>n/a</v>
          </cell>
        </row>
        <row r="91">
          <cell r="C91">
            <v>1420.8744300000008</v>
          </cell>
          <cell r="D91">
            <v>2189.6662996555438</v>
          </cell>
          <cell r="E91">
            <v>-768.791869655543</v>
          </cell>
          <cell r="G91">
            <v>6873.5205900000028</v>
          </cell>
          <cell r="H91">
            <v>9766.5952217141512</v>
          </cell>
          <cell r="I91">
            <v>-2893.0746317141484</v>
          </cell>
          <cell r="K91">
            <v>-768.791869655543</v>
          </cell>
          <cell r="L91">
            <v>0.54106953677500025</v>
          </cell>
          <cell r="M91">
            <v>-4683.8542903444595</v>
          </cell>
          <cell r="N91">
            <v>2.1390721915395399</v>
          </cell>
          <cell r="O91">
            <v>-2893.0746317141484</v>
          </cell>
          <cell r="P91">
            <v>0.42090142799938102</v>
          </cell>
          <cell r="Q91" t="e">
            <v>#REF!</v>
          </cell>
          <cell r="R91" t="str">
            <v>n/a</v>
          </cell>
          <cell r="S91" t="e">
            <v>#REF!</v>
          </cell>
          <cell r="T91" t="str">
            <v>n/a</v>
          </cell>
        </row>
        <row r="93">
          <cell r="C93">
            <v>15.79457</v>
          </cell>
          <cell r="D93">
            <v>34.966620000000006</v>
          </cell>
          <cell r="E93">
            <v>-19.172050000000006</v>
          </cell>
          <cell r="G93">
            <v>62.597990000000003</v>
          </cell>
          <cell r="H93">
            <v>138.83804999999998</v>
          </cell>
          <cell r="I93">
            <v>-76.240059999999971</v>
          </cell>
          <cell r="K93">
            <v>-19.172050000000006</v>
          </cell>
          <cell r="L93">
            <v>1.2138380468730712</v>
          </cell>
          <cell r="M93">
            <v>-27.631369999999997</v>
          </cell>
          <cell r="N93">
            <v>0.79022135968532248</v>
          </cell>
          <cell r="O93">
            <v>-76.240059999999971</v>
          </cell>
          <cell r="P93">
            <v>1.2179314383736597</v>
          </cell>
          <cell r="Q93" t="e">
            <v>#REF!</v>
          </cell>
          <cell r="R93" t="str">
            <v>n/a</v>
          </cell>
          <cell r="S93" t="e">
            <v>#REF!</v>
          </cell>
          <cell r="T93" t="str">
            <v>n/a</v>
          </cell>
        </row>
        <row r="94">
          <cell r="C94">
            <v>50.492440000000002</v>
          </cell>
          <cell r="D94">
            <v>0</v>
          </cell>
          <cell r="E94">
            <v>50.492440000000002</v>
          </cell>
          <cell r="G94">
            <v>221.62448999999998</v>
          </cell>
          <cell r="H94">
            <v>0</v>
          </cell>
          <cell r="I94">
            <v>221.62448999999998</v>
          </cell>
          <cell r="K94">
            <v>50.492440000000002</v>
          </cell>
          <cell r="L94">
            <v>-1</v>
          </cell>
          <cell r="M94">
            <v>-221.62448999999998</v>
          </cell>
          <cell r="N94" t="str">
            <v>n/a</v>
          </cell>
          <cell r="O94">
            <v>221.62448999999998</v>
          </cell>
          <cell r="P94">
            <v>-1</v>
          </cell>
          <cell r="Q94" t="e">
            <v>#REF!</v>
          </cell>
          <cell r="R94" t="str">
            <v>n/a</v>
          </cell>
          <cell r="S94" t="e">
            <v>#REF!</v>
          </cell>
          <cell r="T94" t="str">
            <v>n/a</v>
          </cell>
        </row>
        <row r="95">
          <cell r="C95">
            <v>0</v>
          </cell>
          <cell r="D95">
            <v>0</v>
          </cell>
          <cell r="E95">
            <v>0</v>
          </cell>
          <cell r="G95">
            <v>0</v>
          </cell>
          <cell r="H95">
            <v>0</v>
          </cell>
          <cell r="I95">
            <v>0</v>
          </cell>
          <cell r="K95">
            <v>0</v>
          </cell>
          <cell r="L95" t="str">
            <v>n/a</v>
          </cell>
          <cell r="M95">
            <v>0</v>
          </cell>
          <cell r="N95" t="str">
            <v>n/a</v>
          </cell>
          <cell r="O95">
            <v>0</v>
          </cell>
          <cell r="P95" t="str">
            <v>n/a</v>
          </cell>
          <cell r="Q95" t="e">
            <v>#REF!</v>
          </cell>
          <cell r="R95" t="str">
            <v>n/a</v>
          </cell>
          <cell r="S95" t="e">
            <v>#REF!</v>
          </cell>
          <cell r="T95" t="str">
            <v>n/a</v>
          </cell>
        </row>
        <row r="96">
          <cell r="C96">
            <v>3.7293700000000003</v>
          </cell>
          <cell r="D96">
            <v>0</v>
          </cell>
          <cell r="E96">
            <v>3.7293700000000003</v>
          </cell>
          <cell r="G96">
            <v>38.152999999999999</v>
          </cell>
          <cell r="H96">
            <v>0</v>
          </cell>
          <cell r="I96">
            <v>38.152999999999999</v>
          </cell>
          <cell r="K96">
            <v>3.7293700000000003</v>
          </cell>
          <cell r="L96">
            <v>-1</v>
          </cell>
          <cell r="M96">
            <v>-38.152999999999999</v>
          </cell>
          <cell r="N96" t="str">
            <v>n/a</v>
          </cell>
          <cell r="O96">
            <v>38.152999999999999</v>
          </cell>
          <cell r="P96">
            <v>-1</v>
          </cell>
          <cell r="Q96" t="e">
            <v>#REF!</v>
          </cell>
          <cell r="R96" t="str">
            <v>n/a</v>
          </cell>
          <cell r="S96" t="e">
            <v>#REF!</v>
          </cell>
          <cell r="T96" t="str">
            <v>n/a</v>
          </cell>
        </row>
        <row r="97">
          <cell r="C97">
            <v>0.15712999999999999</v>
          </cell>
          <cell r="D97">
            <v>0</v>
          </cell>
          <cell r="E97">
            <v>0.15712999999999999</v>
          </cell>
          <cell r="G97">
            <v>3.9422000000000001</v>
          </cell>
          <cell r="H97">
            <v>0</v>
          </cell>
          <cell r="I97">
            <v>3.9422000000000001</v>
          </cell>
          <cell r="K97">
            <v>0.15712999999999999</v>
          </cell>
          <cell r="L97">
            <v>-1</v>
          </cell>
          <cell r="M97">
            <v>-3.9422000000000001</v>
          </cell>
          <cell r="N97" t="str">
            <v>n/a</v>
          </cell>
          <cell r="O97">
            <v>3.9422000000000001</v>
          </cell>
          <cell r="P97">
            <v>-1</v>
          </cell>
          <cell r="Q97" t="e">
            <v>#REF!</v>
          </cell>
          <cell r="R97" t="str">
            <v>n/a</v>
          </cell>
          <cell r="S97" t="e">
            <v>#REF!</v>
          </cell>
          <cell r="T97" t="str">
            <v>n/a</v>
          </cell>
        </row>
        <row r="98">
          <cell r="C98">
            <v>0.43395999999999996</v>
          </cell>
          <cell r="D98">
            <v>0</v>
          </cell>
          <cell r="E98">
            <v>0.43395999999999996</v>
          </cell>
          <cell r="G98">
            <v>1.4801300000000002</v>
          </cell>
          <cell r="H98">
            <v>0</v>
          </cell>
          <cell r="I98">
            <v>1.4801300000000002</v>
          </cell>
          <cell r="K98">
            <v>0.43395999999999996</v>
          </cell>
          <cell r="L98">
            <v>-1</v>
          </cell>
          <cell r="M98">
            <v>-1.4801300000000002</v>
          </cell>
          <cell r="N98" t="str">
            <v>n/a</v>
          </cell>
          <cell r="O98">
            <v>1.4801300000000002</v>
          </cell>
          <cell r="P98">
            <v>-1</v>
          </cell>
          <cell r="Q98" t="e">
            <v>#REF!</v>
          </cell>
          <cell r="R98" t="str">
            <v>n/a</v>
          </cell>
          <cell r="S98" t="e">
            <v>#REF!</v>
          </cell>
          <cell r="T98" t="str">
            <v>n/a</v>
          </cell>
        </row>
        <row r="99">
          <cell r="C99">
            <v>0</v>
          </cell>
          <cell r="D99">
            <v>0</v>
          </cell>
          <cell r="E99">
            <v>0</v>
          </cell>
          <cell r="G99">
            <v>0</v>
          </cell>
          <cell r="H99">
            <v>0</v>
          </cell>
          <cell r="I99">
            <v>0</v>
          </cell>
          <cell r="K99">
            <v>0</v>
          </cell>
          <cell r="L99" t="str">
            <v>n/a</v>
          </cell>
          <cell r="M99">
            <v>0</v>
          </cell>
          <cell r="N99" t="str">
            <v>n/a</v>
          </cell>
          <cell r="O99">
            <v>0</v>
          </cell>
          <cell r="P99" t="str">
            <v>n/a</v>
          </cell>
          <cell r="Q99" t="e">
            <v>#REF!</v>
          </cell>
          <cell r="R99" t="str">
            <v>n/a</v>
          </cell>
          <cell r="S99" t="e">
            <v>#REF!</v>
          </cell>
          <cell r="T99" t="str">
            <v>n/a</v>
          </cell>
        </row>
        <row r="100">
          <cell r="C100">
            <v>70.607470000000006</v>
          </cell>
          <cell r="D100">
            <v>34.966620000000006</v>
          </cell>
          <cell r="E100">
            <v>35.64085</v>
          </cell>
          <cell r="G100">
            <v>327.79780999999997</v>
          </cell>
          <cell r="H100">
            <v>138.83804999999998</v>
          </cell>
          <cell r="I100">
            <v>188.95975999999999</v>
          </cell>
          <cell r="K100">
            <v>35.64085</v>
          </cell>
          <cell r="L100">
            <v>-0.50477449482328141</v>
          </cell>
          <cell r="M100">
            <v>-292.83118999999999</v>
          </cell>
          <cell r="N100">
            <v>8.3745923969774569</v>
          </cell>
          <cell r="O100">
            <v>188.95975999999999</v>
          </cell>
          <cell r="P100">
            <v>-0.57645217336869947</v>
          </cell>
          <cell r="Q100" t="e">
            <v>#REF!</v>
          </cell>
          <cell r="R100" t="str">
            <v>n/a</v>
          </cell>
          <cell r="S100" t="e">
            <v>#REF!</v>
          </cell>
          <cell r="T100" t="str">
            <v>n/a</v>
          </cell>
        </row>
        <row r="101">
          <cell r="C101">
            <v>8.1969999999999987E-2</v>
          </cell>
          <cell r="D101">
            <v>0</v>
          </cell>
          <cell r="E101">
            <v>8.1969999999999987E-2</v>
          </cell>
          <cell r="G101">
            <v>8.1969999999999987E-2</v>
          </cell>
          <cell r="H101">
            <v>0</v>
          </cell>
          <cell r="I101">
            <v>8.1969999999999987E-2</v>
          </cell>
          <cell r="K101">
            <v>8.1969999999999987E-2</v>
          </cell>
          <cell r="L101">
            <v>-1</v>
          </cell>
          <cell r="M101">
            <v>-8.1969999999999987E-2</v>
          </cell>
          <cell r="N101" t="str">
            <v>n/a</v>
          </cell>
          <cell r="O101">
            <v>8.1969999999999987E-2</v>
          </cell>
          <cell r="P101">
            <v>-1</v>
          </cell>
          <cell r="Q101" t="e">
            <v>#REF!</v>
          </cell>
          <cell r="R101" t="str">
            <v>n/a</v>
          </cell>
          <cell r="S101" t="e">
            <v>#REF!</v>
          </cell>
          <cell r="T101" t="str">
            <v>n/a</v>
          </cell>
        </row>
        <row r="102">
          <cell r="C102">
            <v>0</v>
          </cell>
          <cell r="D102">
            <v>0</v>
          </cell>
          <cell r="E102">
            <v>0</v>
          </cell>
          <cell r="G102">
            <v>0</v>
          </cell>
          <cell r="H102">
            <v>0</v>
          </cell>
          <cell r="I102">
            <v>0</v>
          </cell>
          <cell r="K102">
            <v>0</v>
          </cell>
          <cell r="L102" t="str">
            <v>n/a</v>
          </cell>
          <cell r="M102">
            <v>0</v>
          </cell>
          <cell r="N102" t="str">
            <v>n/a</v>
          </cell>
          <cell r="O102">
            <v>0</v>
          </cell>
          <cell r="P102" t="str">
            <v>n/a</v>
          </cell>
          <cell r="Q102" t="e">
            <v>#REF!</v>
          </cell>
          <cell r="R102" t="str">
            <v>n/a</v>
          </cell>
          <cell r="S102" t="e">
            <v>#REF!</v>
          </cell>
          <cell r="T102" t="str">
            <v>n/a</v>
          </cell>
        </row>
        <row r="103">
          <cell r="C103">
            <v>8.1969999999999987E-2</v>
          </cell>
          <cell r="D103">
            <v>0</v>
          </cell>
          <cell r="E103">
            <v>8.1969999999999987E-2</v>
          </cell>
          <cell r="G103">
            <v>8.1969999999999987E-2</v>
          </cell>
          <cell r="H103">
            <v>0</v>
          </cell>
          <cell r="I103">
            <v>8.1969999999999987E-2</v>
          </cell>
          <cell r="K103">
            <v>8.1969999999999987E-2</v>
          </cell>
          <cell r="L103">
            <v>-1</v>
          </cell>
          <cell r="M103">
            <v>-8.1969999999999987E-2</v>
          </cell>
          <cell r="N103" t="str">
            <v>n/a</v>
          </cell>
          <cell r="O103">
            <v>8.1969999999999987E-2</v>
          </cell>
          <cell r="P103">
            <v>-1</v>
          </cell>
          <cell r="Q103" t="e">
            <v>#REF!</v>
          </cell>
          <cell r="R103" t="str">
            <v>n/a</v>
          </cell>
          <cell r="S103" t="e">
            <v>#REF!</v>
          </cell>
          <cell r="T103" t="str">
            <v>n/a</v>
          </cell>
        </row>
        <row r="104">
          <cell r="C104">
            <v>0</v>
          </cell>
          <cell r="D104">
            <v>0</v>
          </cell>
          <cell r="E104">
            <v>0</v>
          </cell>
          <cell r="G104">
            <v>0</v>
          </cell>
          <cell r="H104">
            <v>0</v>
          </cell>
          <cell r="I104">
            <v>0</v>
          </cell>
          <cell r="K104">
            <v>0</v>
          </cell>
          <cell r="L104" t="str">
            <v>n/a</v>
          </cell>
          <cell r="M104">
            <v>0</v>
          </cell>
          <cell r="N104" t="str">
            <v>n/a</v>
          </cell>
          <cell r="O104">
            <v>0</v>
          </cell>
          <cell r="P104" t="str">
            <v>n/a</v>
          </cell>
          <cell r="Q104" t="e">
            <v>#REF!</v>
          </cell>
          <cell r="R104" t="str">
            <v>n/a</v>
          </cell>
          <cell r="S104" t="e">
            <v>#REF!</v>
          </cell>
          <cell r="T104" t="str">
            <v>n/a</v>
          </cell>
        </row>
        <row r="105">
          <cell r="C105">
            <v>0</v>
          </cell>
          <cell r="D105">
            <v>-135.17641</v>
          </cell>
          <cell r="E105">
            <v>135.17641</v>
          </cell>
          <cell r="G105">
            <v>0</v>
          </cell>
          <cell r="H105">
            <v>-531.35632999999996</v>
          </cell>
          <cell r="I105">
            <v>531.35632999999996</v>
          </cell>
          <cell r="K105">
            <v>135.17641</v>
          </cell>
          <cell r="L105" t="str">
            <v>n/a</v>
          </cell>
          <cell r="M105">
            <v>-135.17641</v>
          </cell>
          <cell r="N105">
            <v>-1</v>
          </cell>
          <cell r="O105">
            <v>531.35632999999996</v>
          </cell>
          <cell r="P105" t="str">
            <v>n/a</v>
          </cell>
          <cell r="Q105" t="e">
            <v>#REF!</v>
          </cell>
          <cell r="R105" t="str">
            <v>n/a</v>
          </cell>
          <cell r="S105" t="e">
            <v>#REF!</v>
          </cell>
          <cell r="T105" t="str">
            <v>n/a</v>
          </cell>
        </row>
        <row r="106">
          <cell r="C106">
            <v>0</v>
          </cell>
          <cell r="D106">
            <v>0</v>
          </cell>
          <cell r="E106">
            <v>0</v>
          </cell>
          <cell r="G106">
            <v>0</v>
          </cell>
          <cell r="H106">
            <v>0</v>
          </cell>
          <cell r="I106">
            <v>0</v>
          </cell>
          <cell r="K106">
            <v>0</v>
          </cell>
          <cell r="L106" t="str">
            <v>n/a</v>
          </cell>
          <cell r="M106">
            <v>0</v>
          </cell>
          <cell r="N106" t="str">
            <v>n/a</v>
          </cell>
          <cell r="O106">
            <v>0</v>
          </cell>
          <cell r="P106" t="str">
            <v>n/a</v>
          </cell>
          <cell r="Q106" t="e">
            <v>#REF!</v>
          </cell>
          <cell r="R106" t="str">
            <v>n/a</v>
          </cell>
          <cell r="S106" t="e">
            <v>#REF!</v>
          </cell>
          <cell r="T106" t="str">
            <v>n/a</v>
          </cell>
        </row>
        <row r="107">
          <cell r="C107">
            <v>4.234</v>
          </cell>
          <cell r="D107">
            <v>135.17641</v>
          </cell>
          <cell r="E107">
            <v>-130.94241</v>
          </cell>
          <cell r="G107">
            <v>6.4089999999999998</v>
          </cell>
          <cell r="H107">
            <v>531.35632999999996</v>
          </cell>
          <cell r="I107">
            <v>-524.94732999999997</v>
          </cell>
          <cell r="K107">
            <v>-130.94241</v>
          </cell>
          <cell r="L107" t="str">
            <v>n/a</v>
          </cell>
          <cell r="M107">
            <v>128.76741000000001</v>
          </cell>
          <cell r="N107">
            <v>-0.95258788127307126</v>
          </cell>
          <cell r="O107">
            <v>-524.94732999999997</v>
          </cell>
          <cell r="P107" t="str">
            <v>n/a</v>
          </cell>
          <cell r="Q107" t="e">
            <v>#REF!</v>
          </cell>
          <cell r="R107" t="str">
            <v>n/a</v>
          </cell>
          <cell r="S107" t="e">
            <v>#REF!</v>
          </cell>
          <cell r="T107" t="str">
            <v>n/a</v>
          </cell>
        </row>
        <row r="108">
          <cell r="C108">
            <v>0</v>
          </cell>
          <cell r="D108">
            <v>0</v>
          </cell>
          <cell r="E108">
            <v>0</v>
          </cell>
          <cell r="G108">
            <v>0.93400000000000005</v>
          </cell>
          <cell r="H108">
            <v>0</v>
          </cell>
          <cell r="I108">
            <v>0.93400000000000005</v>
          </cell>
          <cell r="K108">
            <v>0</v>
          </cell>
          <cell r="L108" t="str">
            <v>n/a</v>
          </cell>
          <cell r="M108">
            <v>-0.93400000000000005</v>
          </cell>
          <cell r="N108" t="str">
            <v>n/a</v>
          </cell>
          <cell r="O108">
            <v>0.93400000000000005</v>
          </cell>
          <cell r="P108">
            <v>-1</v>
          </cell>
          <cell r="Q108" t="e">
            <v>#REF!</v>
          </cell>
          <cell r="R108" t="str">
            <v>n/a</v>
          </cell>
          <cell r="S108" t="e">
            <v>#REF!</v>
          </cell>
          <cell r="T108" t="str">
            <v>n/a</v>
          </cell>
        </row>
        <row r="109">
          <cell r="C109">
            <v>0</v>
          </cell>
          <cell r="D109">
            <v>0</v>
          </cell>
          <cell r="E109">
            <v>0</v>
          </cell>
          <cell r="G109">
            <v>0</v>
          </cell>
          <cell r="H109">
            <v>0</v>
          </cell>
          <cell r="I109">
            <v>0</v>
          </cell>
          <cell r="K109">
            <v>0</v>
          </cell>
          <cell r="L109" t="str">
            <v>n/a</v>
          </cell>
          <cell r="M109">
            <v>0</v>
          </cell>
          <cell r="N109" t="str">
            <v>n/a</v>
          </cell>
          <cell r="O109">
            <v>0</v>
          </cell>
          <cell r="P109" t="str">
            <v>n/a</v>
          </cell>
          <cell r="Q109" t="e">
            <v>#REF!</v>
          </cell>
          <cell r="R109" t="str">
            <v>n/a</v>
          </cell>
          <cell r="S109" t="e">
            <v>#REF!</v>
          </cell>
          <cell r="T109" t="str">
            <v>n/a</v>
          </cell>
        </row>
        <row r="110">
          <cell r="C110">
            <v>0</v>
          </cell>
          <cell r="D110">
            <v>0</v>
          </cell>
          <cell r="E110">
            <v>0</v>
          </cell>
          <cell r="G110">
            <v>0</v>
          </cell>
          <cell r="H110">
            <v>0</v>
          </cell>
          <cell r="I110">
            <v>0</v>
          </cell>
          <cell r="K110">
            <v>0</v>
          </cell>
          <cell r="L110" t="str">
            <v>n/a</v>
          </cell>
          <cell r="M110">
            <v>0</v>
          </cell>
          <cell r="N110" t="str">
            <v>n/a</v>
          </cell>
          <cell r="O110">
            <v>0</v>
          </cell>
          <cell r="P110" t="str">
            <v>n/a</v>
          </cell>
          <cell r="Q110" t="e">
            <v>#REF!</v>
          </cell>
          <cell r="R110" t="str">
            <v>n/a</v>
          </cell>
          <cell r="S110" t="e">
            <v>#REF!</v>
          </cell>
          <cell r="T110" t="str">
            <v>n/a</v>
          </cell>
        </row>
        <row r="111">
          <cell r="C111">
            <v>0</v>
          </cell>
          <cell r="D111">
            <v>0</v>
          </cell>
          <cell r="E111">
            <v>0</v>
          </cell>
          <cell r="G111">
            <v>0</v>
          </cell>
          <cell r="H111">
            <v>0</v>
          </cell>
          <cell r="I111">
            <v>0</v>
          </cell>
          <cell r="K111">
            <v>0</v>
          </cell>
          <cell r="L111" t="str">
            <v>n/a</v>
          </cell>
          <cell r="M111">
            <v>0</v>
          </cell>
          <cell r="N111" t="str">
            <v>n/a</v>
          </cell>
          <cell r="O111">
            <v>0</v>
          </cell>
          <cell r="P111" t="str">
            <v>n/a</v>
          </cell>
          <cell r="Q111" t="e">
            <v>#REF!</v>
          </cell>
          <cell r="R111" t="str">
            <v>n/a</v>
          </cell>
          <cell r="S111" t="e">
            <v>#REF!</v>
          </cell>
          <cell r="T111" t="str">
            <v>n/a</v>
          </cell>
        </row>
        <row r="112">
          <cell r="C112">
            <v>4.234</v>
          </cell>
          <cell r="D112">
            <v>0</v>
          </cell>
          <cell r="E112">
            <v>4.234</v>
          </cell>
          <cell r="G112">
            <v>7.343</v>
          </cell>
          <cell r="H112">
            <v>0</v>
          </cell>
          <cell r="I112">
            <v>7.343</v>
          </cell>
          <cell r="K112">
            <v>4.234</v>
          </cell>
          <cell r="L112">
            <v>-1</v>
          </cell>
          <cell r="M112">
            <v>-7.343</v>
          </cell>
          <cell r="N112" t="str">
            <v>n/a</v>
          </cell>
          <cell r="O112">
            <v>7.343</v>
          </cell>
          <cell r="P112">
            <v>-1</v>
          </cell>
          <cell r="Q112" t="e">
            <v>#REF!</v>
          </cell>
          <cell r="R112" t="str">
            <v>n/a</v>
          </cell>
          <cell r="S112" t="e">
            <v>#REF!</v>
          </cell>
          <cell r="T112" t="str">
            <v>n/a</v>
          </cell>
        </row>
        <row r="113">
          <cell r="C113">
            <v>0</v>
          </cell>
          <cell r="D113">
            <v>0</v>
          </cell>
          <cell r="E113">
            <v>0</v>
          </cell>
          <cell r="G113">
            <v>4.6500000000000004</v>
          </cell>
          <cell r="H113">
            <v>0</v>
          </cell>
          <cell r="I113">
            <v>4.6500000000000004</v>
          </cell>
          <cell r="K113">
            <v>0</v>
          </cell>
          <cell r="L113" t="str">
            <v>n/a</v>
          </cell>
          <cell r="M113">
            <v>-4.6500000000000004</v>
          </cell>
          <cell r="N113" t="str">
            <v>n/a</v>
          </cell>
          <cell r="O113">
            <v>4.6500000000000004</v>
          </cell>
          <cell r="P113">
            <v>-1</v>
          </cell>
          <cell r="Q113" t="e">
            <v>#REF!</v>
          </cell>
          <cell r="R113" t="str">
            <v>n/a</v>
          </cell>
          <cell r="S113" t="e">
            <v>#REF!</v>
          </cell>
          <cell r="T113" t="str">
            <v>n/a</v>
          </cell>
        </row>
        <row r="114">
          <cell r="C114">
            <v>5.74</v>
          </cell>
          <cell r="D114">
            <v>0</v>
          </cell>
          <cell r="E114">
            <v>5.74</v>
          </cell>
          <cell r="G114">
            <v>27.44</v>
          </cell>
          <cell r="H114">
            <v>0</v>
          </cell>
          <cell r="I114">
            <v>27.44</v>
          </cell>
          <cell r="K114">
            <v>5.74</v>
          </cell>
          <cell r="L114">
            <v>-1</v>
          </cell>
          <cell r="M114">
            <v>-27.44</v>
          </cell>
          <cell r="N114" t="str">
            <v>n/a</v>
          </cell>
          <cell r="O114">
            <v>27.44</v>
          </cell>
          <cell r="P114">
            <v>-1</v>
          </cell>
          <cell r="Q114" t="e">
            <v>#REF!</v>
          </cell>
          <cell r="R114" t="str">
            <v>n/a</v>
          </cell>
          <cell r="S114" t="e">
            <v>#REF!</v>
          </cell>
          <cell r="T114" t="str">
            <v>n/a</v>
          </cell>
        </row>
        <row r="115">
          <cell r="C115">
            <v>2.96</v>
          </cell>
          <cell r="D115">
            <v>0</v>
          </cell>
          <cell r="E115">
            <v>2.96</v>
          </cell>
          <cell r="G115">
            <v>9.25</v>
          </cell>
          <cell r="H115">
            <v>0</v>
          </cell>
          <cell r="I115">
            <v>9.25</v>
          </cell>
          <cell r="K115">
            <v>2.96</v>
          </cell>
          <cell r="L115">
            <v>-1</v>
          </cell>
          <cell r="M115">
            <v>-9.25</v>
          </cell>
          <cell r="N115" t="str">
            <v>n/a</v>
          </cell>
          <cell r="O115">
            <v>9.25</v>
          </cell>
          <cell r="P115">
            <v>-1</v>
          </cell>
          <cell r="Q115" t="e">
            <v>#REF!</v>
          </cell>
          <cell r="R115" t="str">
            <v>n/a</v>
          </cell>
          <cell r="S115" t="e">
            <v>#REF!</v>
          </cell>
          <cell r="T115" t="str">
            <v>n/a</v>
          </cell>
        </row>
        <row r="116">
          <cell r="C116">
            <v>8.6999999999999993</v>
          </cell>
          <cell r="D116">
            <v>0</v>
          </cell>
          <cell r="E116">
            <v>8.6999999999999993</v>
          </cell>
          <cell r="G116">
            <v>41.34</v>
          </cell>
          <cell r="H116">
            <v>0</v>
          </cell>
          <cell r="I116">
            <v>41.34</v>
          </cell>
          <cell r="K116">
            <v>8.6999999999999993</v>
          </cell>
          <cell r="L116">
            <v>-1</v>
          </cell>
          <cell r="M116">
            <v>-41.34</v>
          </cell>
          <cell r="N116" t="str">
            <v>n/a</v>
          </cell>
          <cell r="O116">
            <v>41.34</v>
          </cell>
          <cell r="P116">
            <v>-1</v>
          </cell>
          <cell r="Q116" t="e">
            <v>#REF!</v>
          </cell>
          <cell r="R116" t="str">
            <v>n/a</v>
          </cell>
          <cell r="S116" t="e">
            <v>#REF!</v>
          </cell>
          <cell r="T116" t="str">
            <v>n/a</v>
          </cell>
        </row>
        <row r="117">
          <cell r="C117">
            <v>2.32281</v>
          </cell>
          <cell r="D117">
            <v>0</v>
          </cell>
          <cell r="E117">
            <v>2.32281</v>
          </cell>
          <cell r="G117">
            <v>4.5971599999999997</v>
          </cell>
          <cell r="H117">
            <v>0</v>
          </cell>
          <cell r="I117">
            <v>4.5971599999999997</v>
          </cell>
          <cell r="K117">
            <v>2.32281</v>
          </cell>
          <cell r="L117">
            <v>-1</v>
          </cell>
          <cell r="M117">
            <v>-4.5971599999999997</v>
          </cell>
          <cell r="N117" t="str">
            <v>n/a</v>
          </cell>
          <cell r="O117">
            <v>4.5971599999999997</v>
          </cell>
          <cell r="P117">
            <v>-1</v>
          </cell>
          <cell r="Q117" t="e">
            <v>#REF!</v>
          </cell>
          <cell r="R117" t="str">
            <v>n/a</v>
          </cell>
          <cell r="S117" t="e">
            <v>#REF!</v>
          </cell>
          <cell r="T117" t="str">
            <v>n/a</v>
          </cell>
        </row>
        <row r="118">
          <cell r="C118">
            <v>0</v>
          </cell>
          <cell r="D118">
            <v>0</v>
          </cell>
          <cell r="E118">
            <v>0</v>
          </cell>
          <cell r="G118">
            <v>0</v>
          </cell>
          <cell r="H118">
            <v>0</v>
          </cell>
          <cell r="I118">
            <v>0</v>
          </cell>
          <cell r="K118">
            <v>0</v>
          </cell>
          <cell r="L118" t="str">
            <v>n/a</v>
          </cell>
          <cell r="M118">
            <v>0</v>
          </cell>
          <cell r="N118" t="str">
            <v>n/a</v>
          </cell>
          <cell r="O118">
            <v>0</v>
          </cell>
          <cell r="P118" t="str">
            <v>n/a</v>
          </cell>
          <cell r="Q118" t="e">
            <v>#REF!</v>
          </cell>
          <cell r="R118" t="str">
            <v>n/a</v>
          </cell>
          <cell r="S118" t="e">
            <v>#REF!</v>
          </cell>
          <cell r="T118" t="str">
            <v>n/a</v>
          </cell>
        </row>
        <row r="119">
          <cell r="C119">
            <v>2.8286700000000002</v>
          </cell>
          <cell r="D119">
            <v>0</v>
          </cell>
          <cell r="E119">
            <v>2.8286700000000002</v>
          </cell>
          <cell r="G119">
            <v>14.515169999999998</v>
          </cell>
          <cell r="H119">
            <v>0</v>
          </cell>
          <cell r="I119">
            <v>14.515169999999998</v>
          </cell>
          <cell r="K119">
            <v>2.8286700000000002</v>
          </cell>
          <cell r="L119">
            <v>-1</v>
          </cell>
          <cell r="M119">
            <v>-14.515169999999998</v>
          </cell>
          <cell r="N119" t="str">
            <v>n/a</v>
          </cell>
          <cell r="O119">
            <v>14.515169999999998</v>
          </cell>
          <cell r="P119">
            <v>-1</v>
          </cell>
          <cell r="Q119" t="e">
            <v>#REF!</v>
          </cell>
          <cell r="R119" t="str">
            <v>n/a</v>
          </cell>
          <cell r="S119" t="e">
            <v>#REF!</v>
          </cell>
          <cell r="T119" t="str">
            <v>n/a</v>
          </cell>
        </row>
        <row r="120">
          <cell r="C120">
            <v>0</v>
          </cell>
          <cell r="D120">
            <v>0</v>
          </cell>
          <cell r="E120">
            <v>0</v>
          </cell>
          <cell r="G120">
            <v>0</v>
          </cell>
          <cell r="H120">
            <v>0</v>
          </cell>
          <cell r="I120">
            <v>0</v>
          </cell>
          <cell r="K120">
            <v>0</v>
          </cell>
          <cell r="L120" t="str">
            <v>n/a</v>
          </cell>
          <cell r="M120">
            <v>0</v>
          </cell>
          <cell r="N120" t="str">
            <v>n/a</v>
          </cell>
          <cell r="O120">
            <v>0</v>
          </cell>
          <cell r="P120" t="str">
            <v>n/a</v>
          </cell>
          <cell r="Q120" t="e">
            <v>#REF!</v>
          </cell>
          <cell r="R120" t="str">
            <v>n/a</v>
          </cell>
          <cell r="S120" t="e">
            <v>#REF!</v>
          </cell>
          <cell r="T120" t="str">
            <v>n/a</v>
          </cell>
        </row>
        <row r="121">
          <cell r="C121">
            <v>7.3865199999999991</v>
          </cell>
          <cell r="D121">
            <v>0</v>
          </cell>
          <cell r="E121">
            <v>7.3865199999999991</v>
          </cell>
          <cell r="G121">
            <v>32.341420000000006</v>
          </cell>
          <cell r="H121">
            <v>0</v>
          </cell>
          <cell r="I121">
            <v>32.341420000000006</v>
          </cell>
          <cell r="K121">
            <v>7.3865199999999991</v>
          </cell>
          <cell r="L121">
            <v>-1</v>
          </cell>
          <cell r="M121">
            <v>-32.341420000000006</v>
          </cell>
          <cell r="N121" t="str">
            <v>n/a</v>
          </cell>
          <cell r="O121">
            <v>32.341420000000006</v>
          </cell>
          <cell r="P121">
            <v>-1</v>
          </cell>
          <cell r="Q121" t="e">
            <v>#REF!</v>
          </cell>
          <cell r="R121" t="str">
            <v>n/a</v>
          </cell>
          <cell r="S121" t="e">
            <v>#REF!</v>
          </cell>
          <cell r="T121" t="str">
            <v>n/a</v>
          </cell>
        </row>
        <row r="122">
          <cell r="C122">
            <v>5.67082</v>
          </cell>
          <cell r="D122">
            <v>0</v>
          </cell>
          <cell r="E122">
            <v>5.67082</v>
          </cell>
          <cell r="G122">
            <v>25.537310000000002</v>
          </cell>
          <cell r="H122">
            <v>0</v>
          </cell>
          <cell r="I122">
            <v>25.537310000000002</v>
          </cell>
          <cell r="K122">
            <v>5.67082</v>
          </cell>
          <cell r="L122">
            <v>-1</v>
          </cell>
          <cell r="M122">
            <v>-25.537310000000002</v>
          </cell>
          <cell r="N122" t="str">
            <v>n/a</v>
          </cell>
          <cell r="O122">
            <v>25.537310000000002</v>
          </cell>
          <cell r="P122">
            <v>-1</v>
          </cell>
          <cell r="Q122" t="e">
            <v>#REF!</v>
          </cell>
          <cell r="R122" t="str">
            <v>n/a</v>
          </cell>
          <cell r="S122" t="e">
            <v>#REF!</v>
          </cell>
          <cell r="T122" t="str">
            <v>n/a</v>
          </cell>
        </row>
        <row r="123">
          <cell r="C123">
            <v>0</v>
          </cell>
          <cell r="D123">
            <v>0</v>
          </cell>
          <cell r="E123">
            <v>0</v>
          </cell>
          <cell r="G123">
            <v>0</v>
          </cell>
          <cell r="H123">
            <v>0</v>
          </cell>
          <cell r="I123">
            <v>0</v>
          </cell>
          <cell r="K123">
            <v>0</v>
          </cell>
          <cell r="L123" t="str">
            <v>n/a</v>
          </cell>
          <cell r="M123">
            <v>0</v>
          </cell>
          <cell r="N123" t="str">
            <v>n/a</v>
          </cell>
          <cell r="O123">
            <v>0</v>
          </cell>
          <cell r="P123" t="str">
            <v>n/a</v>
          </cell>
          <cell r="Q123" t="e">
            <v>#REF!</v>
          </cell>
          <cell r="R123" t="str">
            <v>n/a</v>
          </cell>
          <cell r="S123" t="e">
            <v>#REF!</v>
          </cell>
          <cell r="T123" t="str">
            <v>n/a</v>
          </cell>
        </row>
        <row r="124">
          <cell r="C124">
            <v>15.886009999999999</v>
          </cell>
          <cell r="D124">
            <v>0</v>
          </cell>
          <cell r="E124">
            <v>15.886009999999999</v>
          </cell>
          <cell r="G124">
            <v>72.393900000000002</v>
          </cell>
          <cell r="H124">
            <v>0</v>
          </cell>
          <cell r="I124">
            <v>72.393900000000002</v>
          </cell>
          <cell r="K124">
            <v>15.886009999999999</v>
          </cell>
          <cell r="L124">
            <v>-1</v>
          </cell>
          <cell r="M124">
            <v>-72.393900000000002</v>
          </cell>
          <cell r="N124" t="str">
            <v>n/a</v>
          </cell>
          <cell r="O124">
            <v>72.393900000000002</v>
          </cell>
          <cell r="P124">
            <v>-1</v>
          </cell>
          <cell r="Q124" t="e">
            <v>#REF!</v>
          </cell>
          <cell r="R124" t="str">
            <v>n/a</v>
          </cell>
          <cell r="S124" t="e">
            <v>#REF!</v>
          </cell>
          <cell r="T124" t="str">
            <v>n/a</v>
          </cell>
        </row>
        <row r="125">
          <cell r="C125">
            <v>0</v>
          </cell>
          <cell r="D125">
            <v>0</v>
          </cell>
          <cell r="E125">
            <v>0</v>
          </cell>
          <cell r="G125">
            <v>0</v>
          </cell>
          <cell r="H125">
            <v>0</v>
          </cell>
          <cell r="I125">
            <v>0</v>
          </cell>
          <cell r="K125">
            <v>0</v>
          </cell>
          <cell r="L125" t="str">
            <v>n/a</v>
          </cell>
          <cell r="M125">
            <v>0</v>
          </cell>
          <cell r="N125" t="str">
            <v>n/a</v>
          </cell>
          <cell r="O125">
            <v>0</v>
          </cell>
          <cell r="P125" t="str">
            <v>n/a</v>
          </cell>
          <cell r="Q125" t="e">
            <v>#REF!</v>
          </cell>
          <cell r="R125" t="str">
            <v>n/a</v>
          </cell>
          <cell r="S125" t="e">
            <v>#REF!</v>
          </cell>
          <cell r="T125" t="str">
            <v>n/a</v>
          </cell>
        </row>
        <row r="126">
          <cell r="C126">
            <v>0</v>
          </cell>
          <cell r="D126">
            <v>0</v>
          </cell>
          <cell r="E126">
            <v>0</v>
          </cell>
          <cell r="G126">
            <v>0</v>
          </cell>
          <cell r="H126">
            <v>0</v>
          </cell>
          <cell r="I126">
            <v>0</v>
          </cell>
          <cell r="K126">
            <v>0</v>
          </cell>
          <cell r="L126" t="str">
            <v>n/a</v>
          </cell>
          <cell r="M126">
            <v>0</v>
          </cell>
          <cell r="N126" t="str">
            <v>n/a</v>
          </cell>
          <cell r="O126">
            <v>0</v>
          </cell>
          <cell r="P126" t="str">
            <v>n/a</v>
          </cell>
          <cell r="Q126" t="e">
            <v>#REF!</v>
          </cell>
          <cell r="R126" t="str">
            <v>n/a</v>
          </cell>
          <cell r="S126" t="e">
            <v>#REF!</v>
          </cell>
          <cell r="T126" t="str">
            <v>n/a</v>
          </cell>
        </row>
        <row r="127">
          <cell r="C127">
            <v>0</v>
          </cell>
          <cell r="D127">
            <v>0</v>
          </cell>
          <cell r="E127">
            <v>0</v>
          </cell>
          <cell r="G127">
            <v>0</v>
          </cell>
          <cell r="H127">
            <v>0</v>
          </cell>
          <cell r="I127">
            <v>0</v>
          </cell>
          <cell r="K127">
            <v>0</v>
          </cell>
          <cell r="L127" t="str">
            <v>n/a</v>
          </cell>
          <cell r="M127">
            <v>0</v>
          </cell>
          <cell r="N127" t="str">
            <v>n/a</v>
          </cell>
          <cell r="O127">
            <v>0</v>
          </cell>
          <cell r="P127" t="str">
            <v>n/a</v>
          </cell>
          <cell r="Q127" t="e">
            <v>#REF!</v>
          </cell>
          <cell r="R127" t="str">
            <v>n/a</v>
          </cell>
          <cell r="S127" t="e">
            <v>#REF!</v>
          </cell>
          <cell r="T127" t="str">
            <v>n/a</v>
          </cell>
        </row>
        <row r="128">
          <cell r="C128">
            <v>0</v>
          </cell>
          <cell r="D128">
            <v>0</v>
          </cell>
          <cell r="E128">
            <v>0</v>
          </cell>
          <cell r="G128">
            <v>0</v>
          </cell>
          <cell r="H128">
            <v>0</v>
          </cell>
          <cell r="I128">
            <v>0</v>
          </cell>
          <cell r="K128">
            <v>0</v>
          </cell>
          <cell r="L128" t="str">
            <v>n/a</v>
          </cell>
          <cell r="M128">
            <v>0</v>
          </cell>
          <cell r="N128" t="str">
            <v>n/a</v>
          </cell>
          <cell r="O128">
            <v>0</v>
          </cell>
          <cell r="P128" t="str">
            <v>n/a</v>
          </cell>
          <cell r="Q128" t="e">
            <v>#REF!</v>
          </cell>
          <cell r="R128" t="str">
            <v>n/a</v>
          </cell>
          <cell r="S128" t="e">
            <v>#REF!</v>
          </cell>
          <cell r="T128" t="str">
            <v>n/a</v>
          </cell>
        </row>
        <row r="129">
          <cell r="C129">
            <v>0</v>
          </cell>
          <cell r="D129">
            <v>0</v>
          </cell>
          <cell r="E129">
            <v>0</v>
          </cell>
          <cell r="G129">
            <v>0</v>
          </cell>
          <cell r="H129">
            <v>0</v>
          </cell>
          <cell r="I129">
            <v>0</v>
          </cell>
          <cell r="K129">
            <v>0</v>
          </cell>
          <cell r="L129" t="str">
            <v>n/a</v>
          </cell>
          <cell r="M129">
            <v>0</v>
          </cell>
          <cell r="N129" t="str">
            <v>n/a</v>
          </cell>
          <cell r="O129">
            <v>0</v>
          </cell>
          <cell r="P129" t="str">
            <v>n/a</v>
          </cell>
          <cell r="Q129" t="e">
            <v>#REF!</v>
          </cell>
          <cell r="R129" t="str">
            <v>n/a</v>
          </cell>
          <cell r="S129" t="e">
            <v>#REF!</v>
          </cell>
          <cell r="T129" t="str">
            <v>n/a</v>
          </cell>
        </row>
        <row r="130">
          <cell r="C130">
            <v>0</v>
          </cell>
          <cell r="D130">
            <v>0</v>
          </cell>
          <cell r="E130">
            <v>0</v>
          </cell>
          <cell r="G130">
            <v>0</v>
          </cell>
          <cell r="H130">
            <v>0</v>
          </cell>
          <cell r="I130">
            <v>0</v>
          </cell>
          <cell r="K130">
            <v>0</v>
          </cell>
          <cell r="L130" t="str">
            <v>n/a</v>
          </cell>
          <cell r="M130">
            <v>0</v>
          </cell>
          <cell r="N130" t="str">
            <v>n/a</v>
          </cell>
          <cell r="O130">
            <v>0</v>
          </cell>
          <cell r="P130" t="str">
            <v>n/a</v>
          </cell>
          <cell r="Q130" t="e">
            <v>#REF!</v>
          </cell>
          <cell r="R130" t="str">
            <v>n/a</v>
          </cell>
          <cell r="S130" t="e">
            <v>#REF!</v>
          </cell>
          <cell r="T130" t="str">
            <v>n/a</v>
          </cell>
        </row>
        <row r="131">
          <cell r="C131">
            <v>0</v>
          </cell>
          <cell r="D131">
            <v>0</v>
          </cell>
          <cell r="E131">
            <v>0</v>
          </cell>
          <cell r="G131">
            <v>0</v>
          </cell>
          <cell r="H131">
            <v>0</v>
          </cell>
          <cell r="I131">
            <v>0</v>
          </cell>
          <cell r="K131">
            <v>0</v>
          </cell>
          <cell r="L131" t="str">
            <v>n/a</v>
          </cell>
          <cell r="M131">
            <v>0</v>
          </cell>
          <cell r="N131" t="str">
            <v>n/a</v>
          </cell>
          <cell r="O131">
            <v>0</v>
          </cell>
          <cell r="P131" t="str">
            <v>n/a</v>
          </cell>
          <cell r="Q131" t="e">
            <v>#REF!</v>
          </cell>
          <cell r="R131" t="str">
            <v>n/a</v>
          </cell>
          <cell r="S131" t="e">
            <v>#REF!</v>
          </cell>
          <cell r="T131" t="str">
            <v>n/a</v>
          </cell>
        </row>
        <row r="132">
          <cell r="C132">
            <v>0</v>
          </cell>
          <cell r="D132">
            <v>0</v>
          </cell>
          <cell r="E132">
            <v>0</v>
          </cell>
          <cell r="G132">
            <v>0</v>
          </cell>
          <cell r="H132">
            <v>0</v>
          </cell>
          <cell r="I132">
            <v>0</v>
          </cell>
          <cell r="K132">
            <v>0</v>
          </cell>
          <cell r="L132" t="str">
            <v>n/a</v>
          </cell>
          <cell r="M132">
            <v>0</v>
          </cell>
          <cell r="N132" t="str">
            <v>n/a</v>
          </cell>
          <cell r="O132">
            <v>0</v>
          </cell>
          <cell r="P132" t="str">
            <v>n/a</v>
          </cell>
          <cell r="Q132" t="e">
            <v>#REF!</v>
          </cell>
          <cell r="R132" t="str">
            <v>n/a</v>
          </cell>
          <cell r="S132" t="e">
            <v>#REF!</v>
          </cell>
          <cell r="T132" t="str">
            <v>n/a</v>
          </cell>
        </row>
        <row r="133">
          <cell r="C133">
            <v>0</v>
          </cell>
          <cell r="D133">
            <v>0</v>
          </cell>
          <cell r="E133">
            <v>0</v>
          </cell>
          <cell r="G133">
            <v>0</v>
          </cell>
          <cell r="H133">
            <v>0</v>
          </cell>
          <cell r="I133">
            <v>0</v>
          </cell>
          <cell r="K133">
            <v>0</v>
          </cell>
          <cell r="L133" t="str">
            <v>n/a</v>
          </cell>
          <cell r="M133">
            <v>0</v>
          </cell>
          <cell r="N133" t="str">
            <v>n/a</v>
          </cell>
          <cell r="O133">
            <v>0</v>
          </cell>
          <cell r="P133" t="str">
            <v>n/a</v>
          </cell>
          <cell r="Q133" t="e">
            <v>#REF!</v>
          </cell>
          <cell r="R133" t="str">
            <v>n/a</v>
          </cell>
          <cell r="S133" t="e">
            <v>#REF!</v>
          </cell>
          <cell r="T133" t="str">
            <v>n/a</v>
          </cell>
        </row>
        <row r="134">
          <cell r="C134">
            <v>0</v>
          </cell>
          <cell r="D134">
            <v>0</v>
          </cell>
          <cell r="E134">
            <v>0</v>
          </cell>
          <cell r="G134">
            <v>0</v>
          </cell>
          <cell r="H134">
            <v>0</v>
          </cell>
          <cell r="I134">
            <v>0</v>
          </cell>
          <cell r="K134">
            <v>0</v>
          </cell>
          <cell r="L134" t="str">
            <v>n/a</v>
          </cell>
          <cell r="M134">
            <v>0</v>
          </cell>
          <cell r="N134" t="str">
            <v>n/a</v>
          </cell>
          <cell r="O134">
            <v>0</v>
          </cell>
          <cell r="P134" t="str">
            <v>n/a</v>
          </cell>
          <cell r="Q134" t="e">
            <v>#REF!</v>
          </cell>
          <cell r="R134" t="str">
            <v>n/a</v>
          </cell>
          <cell r="S134" t="e">
            <v>#REF!</v>
          </cell>
          <cell r="T134" t="str">
            <v>n/a</v>
          </cell>
        </row>
        <row r="135">
          <cell r="C135">
            <v>0</v>
          </cell>
          <cell r="D135">
            <v>0</v>
          </cell>
          <cell r="E135">
            <v>0</v>
          </cell>
          <cell r="G135">
            <v>0</v>
          </cell>
          <cell r="H135">
            <v>0</v>
          </cell>
          <cell r="I135">
            <v>0</v>
          </cell>
          <cell r="K135">
            <v>0</v>
          </cell>
          <cell r="L135" t="str">
            <v>n/a</v>
          </cell>
          <cell r="M135">
            <v>0</v>
          </cell>
          <cell r="N135" t="str">
            <v>n/a</v>
          </cell>
          <cell r="O135">
            <v>0</v>
          </cell>
          <cell r="P135" t="str">
            <v>n/a</v>
          </cell>
          <cell r="Q135" t="e">
            <v>#REF!</v>
          </cell>
          <cell r="R135" t="str">
            <v>n/a</v>
          </cell>
          <cell r="S135" t="e">
            <v>#REF!</v>
          </cell>
          <cell r="T135" t="str">
            <v>n/a</v>
          </cell>
        </row>
        <row r="136">
          <cell r="C136">
            <v>0</v>
          </cell>
          <cell r="D136">
            <v>0</v>
          </cell>
          <cell r="E136">
            <v>0</v>
          </cell>
          <cell r="G136">
            <v>0</v>
          </cell>
          <cell r="H136">
            <v>0</v>
          </cell>
          <cell r="I136">
            <v>0</v>
          </cell>
          <cell r="K136">
            <v>0</v>
          </cell>
          <cell r="L136" t="str">
            <v>n/a</v>
          </cell>
          <cell r="M136">
            <v>0</v>
          </cell>
          <cell r="N136" t="str">
            <v>n/a</v>
          </cell>
          <cell r="O136">
            <v>0</v>
          </cell>
          <cell r="P136" t="str">
            <v>n/a</v>
          </cell>
          <cell r="Q136" t="e">
            <v>#REF!</v>
          </cell>
          <cell r="R136" t="str">
            <v>n/a</v>
          </cell>
          <cell r="S136" t="e">
            <v>#REF!</v>
          </cell>
          <cell r="T136" t="str">
            <v>n/a</v>
          </cell>
        </row>
        <row r="137">
          <cell r="C137">
            <v>0</v>
          </cell>
          <cell r="D137">
            <v>0</v>
          </cell>
          <cell r="E137">
            <v>0</v>
          </cell>
          <cell r="G137">
            <v>0</v>
          </cell>
          <cell r="H137">
            <v>0</v>
          </cell>
          <cell r="I137">
            <v>0</v>
          </cell>
          <cell r="K137">
            <v>0</v>
          </cell>
          <cell r="L137" t="str">
            <v>n/a</v>
          </cell>
          <cell r="M137">
            <v>0</v>
          </cell>
          <cell r="N137" t="str">
            <v>n/a</v>
          </cell>
          <cell r="O137">
            <v>0</v>
          </cell>
          <cell r="P137" t="str">
            <v>n/a</v>
          </cell>
          <cell r="Q137" t="e">
            <v>#REF!</v>
          </cell>
          <cell r="R137" t="str">
            <v>n/a</v>
          </cell>
          <cell r="S137" t="e">
            <v>#REF!</v>
          </cell>
          <cell r="T137" t="str">
            <v>n/a</v>
          </cell>
        </row>
        <row r="138">
          <cell r="C138">
            <v>0</v>
          </cell>
          <cell r="D138">
            <v>0</v>
          </cell>
          <cell r="E138">
            <v>0</v>
          </cell>
          <cell r="G138">
            <v>0</v>
          </cell>
          <cell r="H138">
            <v>0</v>
          </cell>
          <cell r="I138">
            <v>0</v>
          </cell>
          <cell r="K138">
            <v>0</v>
          </cell>
          <cell r="L138" t="str">
            <v>n/a</v>
          </cell>
          <cell r="M138">
            <v>0</v>
          </cell>
          <cell r="N138" t="str">
            <v>n/a</v>
          </cell>
          <cell r="O138">
            <v>0</v>
          </cell>
          <cell r="P138" t="str">
            <v>n/a</v>
          </cell>
          <cell r="Q138" t="e">
            <v>#REF!</v>
          </cell>
          <cell r="R138" t="str">
            <v>n/a</v>
          </cell>
          <cell r="S138" t="e">
            <v>#REF!</v>
          </cell>
          <cell r="T138" t="str">
            <v>n/a</v>
          </cell>
        </row>
        <row r="139">
          <cell r="C139">
            <v>0</v>
          </cell>
          <cell r="D139">
            <v>0</v>
          </cell>
          <cell r="E139">
            <v>0</v>
          </cell>
          <cell r="G139">
            <v>0</v>
          </cell>
          <cell r="H139">
            <v>0</v>
          </cell>
          <cell r="I139">
            <v>0</v>
          </cell>
          <cell r="K139">
            <v>0</v>
          </cell>
          <cell r="L139" t="str">
            <v>n/a</v>
          </cell>
          <cell r="M139">
            <v>0</v>
          </cell>
          <cell r="N139" t="str">
            <v>n/a</v>
          </cell>
          <cell r="O139">
            <v>0</v>
          </cell>
          <cell r="P139" t="str">
            <v>n/a</v>
          </cell>
          <cell r="Q139" t="e">
            <v>#REF!</v>
          </cell>
          <cell r="R139" t="str">
            <v>n/a</v>
          </cell>
          <cell r="S139" t="e">
            <v>#REF!</v>
          </cell>
          <cell r="T139" t="str">
            <v>n/a</v>
          </cell>
        </row>
        <row r="140">
          <cell r="C140">
            <v>0</v>
          </cell>
          <cell r="D140">
            <v>0</v>
          </cell>
          <cell r="E140">
            <v>0</v>
          </cell>
          <cell r="G140">
            <v>0</v>
          </cell>
          <cell r="H140">
            <v>0</v>
          </cell>
          <cell r="I140">
            <v>0</v>
          </cell>
          <cell r="K140">
            <v>0</v>
          </cell>
          <cell r="L140" t="str">
            <v>n/a</v>
          </cell>
          <cell r="M140">
            <v>0</v>
          </cell>
          <cell r="N140" t="str">
            <v>n/a</v>
          </cell>
          <cell r="O140">
            <v>0</v>
          </cell>
          <cell r="P140" t="str">
            <v>n/a</v>
          </cell>
          <cell r="Q140" t="e">
            <v>#REF!</v>
          </cell>
          <cell r="R140" t="str">
            <v>n/a</v>
          </cell>
          <cell r="S140" t="e">
            <v>#REF!</v>
          </cell>
          <cell r="T140" t="str">
            <v>n/a</v>
          </cell>
        </row>
        <row r="141">
          <cell r="C141">
            <v>0</v>
          </cell>
          <cell r="D141">
            <v>0</v>
          </cell>
          <cell r="E141">
            <v>0</v>
          </cell>
          <cell r="G141">
            <v>0</v>
          </cell>
          <cell r="H141">
            <v>0</v>
          </cell>
          <cell r="I141">
            <v>0</v>
          </cell>
          <cell r="K141">
            <v>0</v>
          </cell>
          <cell r="L141" t="str">
            <v>n/a</v>
          </cell>
          <cell r="M141">
            <v>0</v>
          </cell>
          <cell r="N141" t="str">
            <v>n/a</v>
          </cell>
          <cell r="O141">
            <v>0</v>
          </cell>
          <cell r="P141" t="str">
            <v>n/a</v>
          </cell>
          <cell r="Q141" t="e">
            <v>#REF!</v>
          </cell>
          <cell r="R141" t="str">
            <v>n/a</v>
          </cell>
          <cell r="S141" t="e">
            <v>#REF!</v>
          </cell>
          <cell r="T141" t="str">
            <v>n/a</v>
          </cell>
        </row>
        <row r="142">
          <cell r="C142">
            <v>0</v>
          </cell>
          <cell r="D142">
            <v>0</v>
          </cell>
          <cell r="E142">
            <v>0</v>
          </cell>
          <cell r="G142">
            <v>0</v>
          </cell>
          <cell r="H142">
            <v>0</v>
          </cell>
          <cell r="I142">
            <v>0</v>
          </cell>
          <cell r="K142">
            <v>0</v>
          </cell>
          <cell r="L142" t="str">
            <v>n/a</v>
          </cell>
          <cell r="M142">
            <v>0</v>
          </cell>
          <cell r="N142" t="str">
            <v>n/a</v>
          </cell>
          <cell r="O142">
            <v>0</v>
          </cell>
          <cell r="P142" t="str">
            <v>n/a</v>
          </cell>
          <cell r="Q142" t="e">
            <v>#REF!</v>
          </cell>
          <cell r="R142" t="str">
            <v>n/a</v>
          </cell>
          <cell r="S142" t="e">
            <v>#REF!</v>
          </cell>
          <cell r="T142" t="str">
            <v>n/a</v>
          </cell>
        </row>
        <row r="143">
          <cell r="C143">
            <v>0</v>
          </cell>
          <cell r="D143">
            <v>0</v>
          </cell>
          <cell r="E143">
            <v>0</v>
          </cell>
          <cell r="G143">
            <v>0</v>
          </cell>
          <cell r="H143">
            <v>0</v>
          </cell>
          <cell r="I143">
            <v>0</v>
          </cell>
          <cell r="K143">
            <v>0</v>
          </cell>
          <cell r="L143" t="str">
            <v>n/a</v>
          </cell>
          <cell r="M143">
            <v>0</v>
          </cell>
          <cell r="N143" t="str">
            <v>n/a</v>
          </cell>
          <cell r="O143">
            <v>0</v>
          </cell>
          <cell r="P143" t="str">
            <v>n/a</v>
          </cell>
          <cell r="Q143" t="e">
            <v>#REF!</v>
          </cell>
          <cell r="R143" t="str">
            <v>n/a</v>
          </cell>
          <cell r="S143" t="e">
            <v>#REF!</v>
          </cell>
          <cell r="T143" t="str">
            <v>n/a</v>
          </cell>
        </row>
        <row r="144">
          <cell r="C144">
            <v>101.83226000000001</v>
          </cell>
          <cell r="D144">
            <v>34.966620000000006</v>
          </cell>
          <cell r="E144">
            <v>66.865639999999999</v>
          </cell>
          <cell r="G144">
            <v>453.55383999999998</v>
          </cell>
          <cell r="H144">
            <v>138.83804999999998</v>
          </cell>
          <cell r="I144">
            <v>314.71578999999997</v>
          </cell>
          <cell r="K144">
            <v>66.865639999999999</v>
          </cell>
          <cell r="L144">
            <v>-0.65662531696733428</v>
          </cell>
          <cell r="M144">
            <v>-418.58722</v>
          </cell>
          <cell r="N144" t="str">
            <v>n/a</v>
          </cell>
          <cell r="O144">
            <v>314.71578999999997</v>
          </cell>
          <cell r="P144">
            <v>-0.69388849182712242</v>
          </cell>
          <cell r="Q144" t="e">
            <v>#REF!</v>
          </cell>
          <cell r="R144" t="str">
            <v>n/a</v>
          </cell>
          <cell r="S144" t="e">
            <v>#REF!</v>
          </cell>
          <cell r="T144" t="str">
            <v>n/a</v>
          </cell>
        </row>
        <row r="146">
          <cell r="C146">
            <v>1522.7066900000007</v>
          </cell>
          <cell r="D146">
            <v>2224.6329196555439</v>
          </cell>
          <cell r="E146">
            <v>-701.92622965554324</v>
          </cell>
          <cell r="G146">
            <v>7327.0744300000024</v>
          </cell>
          <cell r="H146">
            <v>9905.4332717141515</v>
          </cell>
          <cell r="I146">
            <v>-2578.3588417141491</v>
          </cell>
          <cell r="K146">
            <v>-701.92622965554324</v>
          </cell>
          <cell r="L146">
            <v>0.46097271015177776</v>
          </cell>
          <cell r="M146">
            <v>-5102.4415103444589</v>
          </cell>
          <cell r="N146">
            <v>2.2936105391870703</v>
          </cell>
          <cell r="O146">
            <v>-2578.3588417141491</v>
          </cell>
          <cell r="P146">
            <v>0.35189472501566343</v>
          </cell>
          <cell r="Q146" t="e">
            <v>#REF!</v>
          </cell>
          <cell r="R146" t="str">
            <v>n/a</v>
          </cell>
          <cell r="S146" t="e">
            <v>#REF!</v>
          </cell>
          <cell r="T146" t="str">
            <v>n/a</v>
          </cell>
        </row>
      </sheetData>
      <sheetData sheetId="27" refreshError="1"/>
      <sheetData sheetId="28" refreshError="1"/>
      <sheetData sheetId="29" refreshError="1">
        <row r="3">
          <cell r="G3">
            <v>6</v>
          </cell>
        </row>
        <row r="11">
          <cell r="A11">
            <v>2006</v>
          </cell>
          <cell r="D11" t="str">
            <v>06</v>
          </cell>
        </row>
        <row r="12">
          <cell r="A12">
            <v>2005</v>
          </cell>
          <cell r="D12" t="str">
            <v>05</v>
          </cell>
        </row>
        <row r="13">
          <cell r="A13">
            <v>2004</v>
          </cell>
          <cell r="D13" t="str">
            <v>04</v>
          </cell>
        </row>
        <row r="14">
          <cell r="A14">
            <v>2003</v>
          </cell>
          <cell r="D14" t="str">
            <v>03</v>
          </cell>
        </row>
        <row r="15">
          <cell r="A15">
            <v>2002</v>
          </cell>
          <cell r="D15" t="str">
            <v>02</v>
          </cell>
        </row>
        <row r="16">
          <cell r="A16">
            <v>2001</v>
          </cell>
          <cell r="D16" t="str">
            <v>01</v>
          </cell>
        </row>
        <row r="17">
          <cell r="A17">
            <v>2007</v>
          </cell>
          <cell r="D17" t="str">
            <v>07</v>
          </cell>
        </row>
        <row r="18">
          <cell r="A18">
            <v>2006</v>
          </cell>
          <cell r="D18" t="str">
            <v>06</v>
          </cell>
        </row>
        <row r="19">
          <cell r="A19">
            <v>2006</v>
          </cell>
          <cell r="D19" t="str">
            <v>06</v>
          </cell>
        </row>
        <row r="20">
          <cell r="A20">
            <v>2007</v>
          </cell>
          <cell r="D20" t="str">
            <v>07</v>
          </cell>
        </row>
        <row r="62">
          <cell r="B62" t="str">
            <v>MARS:isall-04</v>
          </cell>
        </row>
        <row r="68">
          <cell r="B68" t="str">
            <v>MARS:isall-03</v>
          </cell>
        </row>
        <row r="110">
          <cell r="B110">
            <v>2006</v>
          </cell>
        </row>
        <row r="111">
          <cell r="B111">
            <v>2</v>
          </cell>
        </row>
        <row r="117">
          <cell r="G117">
            <v>38978</v>
          </cell>
        </row>
        <row r="119">
          <cell r="G119" t="str">
            <v>August</v>
          </cell>
        </row>
        <row r="121">
          <cell r="B121">
            <v>5</v>
          </cell>
        </row>
        <row r="153">
          <cell r="V153" t="str">
            <v>January</v>
          </cell>
          <cell r="X153">
            <v>8</v>
          </cell>
          <cell r="Y153" t="str">
            <v>August</v>
          </cell>
        </row>
        <row r="154">
          <cell r="D154">
            <v>2009</v>
          </cell>
          <cell r="G154" t="str">
            <v>MARS:bs-06</v>
          </cell>
          <cell r="V154" t="str">
            <v>February</v>
          </cell>
          <cell r="X154">
            <v>8</v>
          </cell>
          <cell r="Y154" t="str">
            <v>August</v>
          </cell>
        </row>
        <row r="155">
          <cell r="D155">
            <v>2008</v>
          </cell>
          <cell r="E155">
            <v>4</v>
          </cell>
          <cell r="G155" t="str">
            <v>MARS:ftp-06</v>
          </cell>
          <cell r="I155" t="str">
            <v>Actual</v>
          </cell>
          <cell r="J155">
            <v>1</v>
          </cell>
          <cell r="K155" t="str">
            <v>TOTAL SHAREHOLDER'S EQUITY</v>
          </cell>
          <cell r="L155" t="str">
            <v>Actual</v>
          </cell>
          <cell r="V155" t="str">
            <v>March</v>
          </cell>
          <cell r="X155">
            <v>21</v>
          </cell>
          <cell r="Y155" t="str">
            <v>August YTD</v>
          </cell>
        </row>
        <row r="156">
          <cell r="D156">
            <v>2007</v>
          </cell>
          <cell r="G156" t="str">
            <v>MARS:is-06</v>
          </cell>
          <cell r="J156" t="str">
            <v>Actual</v>
          </cell>
          <cell r="K156" t="str">
            <v>ALLOWANCE FOR LOAN LOSSES</v>
          </cell>
          <cell r="V156" t="str">
            <v>April</v>
          </cell>
          <cell r="X156">
            <v>21</v>
          </cell>
          <cell r="Y156" t="str">
            <v>August YTD</v>
          </cell>
        </row>
        <row r="157">
          <cell r="D157">
            <v>2006</v>
          </cell>
          <cell r="G157" t="str">
            <v>MARS:isall-06</v>
          </cell>
          <cell r="I157" t="str">
            <v>Actual</v>
          </cell>
          <cell r="J157" t="str">
            <v>MARS:is-06</v>
          </cell>
          <cell r="K157" t="str">
            <v>MARS:bs-06</v>
          </cell>
          <cell r="L157" t="str">
            <v>MARS:bspit-06</v>
          </cell>
          <cell r="M157" t="str">
            <v>MARS:ftp-06</v>
          </cell>
          <cell r="N157" t="str">
            <v>MARS:stat-06</v>
          </cell>
          <cell r="O157" t="str">
            <v>MARS:isall-06</v>
          </cell>
          <cell r="V157" t="str">
            <v>May</v>
          </cell>
          <cell r="X157">
            <v>13</v>
          </cell>
          <cell r="Y157" t="str">
            <v>Annual</v>
          </cell>
        </row>
        <row r="158">
          <cell r="D158">
            <v>2005</v>
          </cell>
          <cell r="G158" t="str">
            <v>MARS:stat-06</v>
          </cell>
          <cell r="I158" t="str">
            <v>Budget</v>
          </cell>
          <cell r="J158" t="str">
            <v>MARS:is-06</v>
          </cell>
          <cell r="K158" t="str">
            <v>MARS:bs-06</v>
          </cell>
          <cell r="L158" t="str">
            <v>MARS:bs-06</v>
          </cell>
          <cell r="M158" t="str">
            <v>MARS:ftp-06</v>
          </cell>
          <cell r="N158" t="str">
            <v>MARS:stat-06</v>
          </cell>
          <cell r="O158" t="str">
            <v>MARS:isall-06</v>
          </cell>
          <cell r="V158" t="str">
            <v>June</v>
          </cell>
          <cell r="X158">
            <v>6</v>
          </cell>
          <cell r="Y158" t="str">
            <v>Annual</v>
          </cell>
        </row>
        <row r="159">
          <cell r="D159">
            <v>2004</v>
          </cell>
          <cell r="G159" t="str">
            <v>MARS:bspit-06</v>
          </cell>
          <cell r="I159" t="str">
            <v>CurrFcst</v>
          </cell>
          <cell r="J159" t="str">
            <v>MARS:isfcst98</v>
          </cell>
          <cell r="K159" t="str">
            <v>MARS:bsfcst01</v>
          </cell>
          <cell r="L159" t="str">
            <v>MARS:bsfcst01</v>
          </cell>
          <cell r="M159" t="str">
            <v>MARS:ftfcst98</v>
          </cell>
          <cell r="N159" t="str">
            <v>MARS:stfcst98</v>
          </cell>
          <cell r="O159" t="str">
            <v>MARS:alfcst98</v>
          </cell>
          <cell r="V159" t="str">
            <v>July</v>
          </cell>
          <cell r="X159">
            <v>26</v>
          </cell>
          <cell r="Y159" t="str">
            <v>None</v>
          </cell>
        </row>
        <row r="160">
          <cell r="D160">
            <v>2003</v>
          </cell>
          <cell r="I160" t="str">
            <v>PrFcst</v>
          </cell>
          <cell r="J160" t="str">
            <v>MARS:isfcst98</v>
          </cell>
          <cell r="K160" t="str">
            <v>MARS:bsfcst01</v>
          </cell>
          <cell r="L160" t="str">
            <v>MARS:bsfcst01</v>
          </cell>
          <cell r="M160" t="str">
            <v>MARS:ftfcst98</v>
          </cell>
          <cell r="N160" t="str">
            <v>MARS:stfcst98</v>
          </cell>
          <cell r="O160" t="str">
            <v>MARS:alfcst98</v>
          </cell>
          <cell r="V160" t="str">
            <v>August</v>
          </cell>
        </row>
        <row r="161">
          <cell r="D161">
            <v>2002</v>
          </cell>
          <cell r="I161" t="str">
            <v>Momentum</v>
          </cell>
          <cell r="J161" t="str">
            <v>MARS:isfcst98</v>
          </cell>
          <cell r="K161" t="str">
            <v>MARS:bsfcst01</v>
          </cell>
          <cell r="L161" t="str">
            <v>MARS:bsfcst01</v>
          </cell>
          <cell r="M161" t="str">
            <v>MARS:ftfcst98</v>
          </cell>
          <cell r="N161" t="str">
            <v>MARS:stfcst98</v>
          </cell>
          <cell r="O161" t="str">
            <v>MARS:alfcst98</v>
          </cell>
          <cell r="V161" t="str">
            <v>September</v>
          </cell>
        </row>
        <row r="162">
          <cell r="D162">
            <v>2001</v>
          </cell>
          <cell r="I162" t="str">
            <v>Tracks</v>
          </cell>
          <cell r="J162" t="str">
            <v>MARS:isfcst98</v>
          </cell>
          <cell r="K162" t="str">
            <v>MARS:bsfcst01</v>
          </cell>
          <cell r="L162" t="str">
            <v>MARS:bsfcst01</v>
          </cell>
          <cell r="M162" t="str">
            <v>MARS:ftfcst98</v>
          </cell>
          <cell r="N162" t="str">
            <v>MARS:stfcst98</v>
          </cell>
          <cell r="O162" t="str">
            <v>MARS:alfcst98</v>
          </cell>
          <cell r="V162" t="str">
            <v>October</v>
          </cell>
        </row>
        <row r="163">
          <cell r="I163" t="str">
            <v>Base Case</v>
          </cell>
          <cell r="J163" t="str">
            <v>MARS:isfcst98</v>
          </cell>
          <cell r="K163" t="str">
            <v>MARS:bsfcst01</v>
          </cell>
          <cell r="L163" t="str">
            <v>MARS:bsfcst01</v>
          </cell>
          <cell r="M163" t="str">
            <v>MARS:ftfcst98</v>
          </cell>
          <cell r="N163" t="str">
            <v>MARS:stfcst98</v>
          </cell>
          <cell r="O163" t="str">
            <v>MARS:alfcst98</v>
          </cell>
          <cell r="V163" t="str">
            <v>November</v>
          </cell>
        </row>
        <row r="164">
          <cell r="I164" t="str">
            <v>Target</v>
          </cell>
          <cell r="J164" t="str">
            <v>MARS:isfcst98</v>
          </cell>
          <cell r="K164" t="str">
            <v>MARS:bsfcst01</v>
          </cell>
          <cell r="L164" t="str">
            <v>MARS:bsfcst01</v>
          </cell>
          <cell r="M164" t="str">
            <v>MARS:ftfcst98</v>
          </cell>
          <cell r="N164" t="str">
            <v>MARS:stfcst98</v>
          </cell>
          <cell r="O164" t="str">
            <v>MARS:alfcst98</v>
          </cell>
          <cell r="V164" t="str">
            <v>December</v>
          </cell>
        </row>
        <row r="165">
          <cell r="I165" t="str">
            <v>Prior 2</v>
          </cell>
          <cell r="J165" t="str">
            <v>MARS:isfcst98</v>
          </cell>
          <cell r="K165" t="str">
            <v>MARS:bsfcst01</v>
          </cell>
          <cell r="L165" t="str">
            <v>MARS:bsfcst01</v>
          </cell>
          <cell r="M165" t="str">
            <v>MARS:ftfcst98</v>
          </cell>
          <cell r="N165" t="str">
            <v>MARS:stfcst98</v>
          </cell>
          <cell r="O165" t="str">
            <v>MARS:alfcst98</v>
          </cell>
          <cell r="T165">
            <v>365</v>
          </cell>
          <cell r="V165" t="str">
            <v>Annual</v>
          </cell>
        </row>
        <row r="166">
          <cell r="I166" t="str">
            <v>Strat</v>
          </cell>
          <cell r="J166" t="str">
            <v>MARS:isfcst98</v>
          </cell>
          <cell r="K166" t="str">
            <v>MARS:bsfcst01</v>
          </cell>
          <cell r="L166" t="str">
            <v>MARS:bsfcst01</v>
          </cell>
          <cell r="M166" t="str">
            <v>MARS:ftfcst98</v>
          </cell>
          <cell r="N166" t="str">
            <v>MARS:stfcst98</v>
          </cell>
          <cell r="O166" t="str">
            <v>MARS:alfcst98</v>
          </cell>
          <cell r="V166" t="str">
            <v>January YTD</v>
          </cell>
        </row>
        <row r="167">
          <cell r="I167" t="str">
            <v>Init</v>
          </cell>
          <cell r="J167" t="str">
            <v>MARS:isfcst98</v>
          </cell>
          <cell r="K167" t="str">
            <v>MARS:bsfcst01</v>
          </cell>
          <cell r="L167" t="str">
            <v>MARS:bsfcst01</v>
          </cell>
          <cell r="M167" t="str">
            <v>MARS:ftfcst98</v>
          </cell>
          <cell r="N167" t="str">
            <v>MARS:stfcst98</v>
          </cell>
          <cell r="O167" t="str">
            <v>MARS:alfcst98</v>
          </cell>
          <cell r="V167" t="str">
            <v>February YTD</v>
          </cell>
        </row>
        <row r="168">
          <cell r="I168" t="str">
            <v>Pass 1</v>
          </cell>
          <cell r="J168" t="str">
            <v>MARS:is-06b</v>
          </cell>
          <cell r="K168" t="str">
            <v>MARS:bs-06b</v>
          </cell>
          <cell r="L168" t="str">
            <v>MARS:bs-06b</v>
          </cell>
          <cell r="M168" t="str">
            <v>MARS:ftp-06b</v>
          </cell>
          <cell r="N168" t="str">
            <v>MARS:stat-06b</v>
          </cell>
          <cell r="O168" t="str">
            <v>MARS:isall-06</v>
          </cell>
          <cell r="V168" t="str">
            <v>March YTD</v>
          </cell>
        </row>
        <row r="169">
          <cell r="I169" t="str">
            <v>Pass 2</v>
          </cell>
          <cell r="J169" t="str">
            <v>MARS:is-06b</v>
          </cell>
          <cell r="K169" t="str">
            <v>MARS:bs-06b</v>
          </cell>
          <cell r="L169" t="str">
            <v>MARS:bs-06b</v>
          </cell>
          <cell r="M169" t="str">
            <v>MARS:ftp-06b</v>
          </cell>
          <cell r="N169" t="str">
            <v>MARS:stat-06b</v>
          </cell>
          <cell r="O169" t="str">
            <v>MARS:isall-06</v>
          </cell>
          <cell r="V169" t="str">
            <v>April YTD</v>
          </cell>
        </row>
        <row r="170">
          <cell r="I170" t="str">
            <v>Prior Month</v>
          </cell>
          <cell r="J170" t="str">
            <v>MARS:is-06b</v>
          </cell>
          <cell r="K170" t="str">
            <v>MARS:bs-06b</v>
          </cell>
          <cell r="L170" t="str">
            <v>MARS:bs-06b</v>
          </cell>
          <cell r="M170" t="str">
            <v>MARS:ftp-06b</v>
          </cell>
          <cell r="N170" t="str">
            <v>MARS:stat-06b</v>
          </cell>
          <cell r="O170" t="str">
            <v>MARS:isall-06</v>
          </cell>
          <cell r="V170" t="str">
            <v>May YTD</v>
          </cell>
        </row>
        <row r="171">
          <cell r="I171" t="str">
            <v>Budget</v>
          </cell>
          <cell r="J171">
            <v>2</v>
          </cell>
          <cell r="K171" t="str">
            <v>TOTAL EQ</v>
          </cell>
          <cell r="L171" t="str">
            <v>Budget</v>
          </cell>
          <cell r="V171" t="str">
            <v>June YTD</v>
          </cell>
        </row>
        <row r="172">
          <cell r="D172">
            <v>2009</v>
          </cell>
          <cell r="G172" t="str">
            <v>MARS:bs-06</v>
          </cell>
          <cell r="J172" t="str">
            <v>Budget</v>
          </cell>
          <cell r="K172" t="str">
            <v>TOTAL LLR</v>
          </cell>
          <cell r="V172" t="str">
            <v>July YTD</v>
          </cell>
        </row>
        <row r="173">
          <cell r="D173">
            <v>2008</v>
          </cell>
          <cell r="E173">
            <v>4</v>
          </cell>
          <cell r="G173" t="str">
            <v>MARS:ftp-06</v>
          </cell>
          <cell r="I173" t="str">
            <v>Actual</v>
          </cell>
          <cell r="J173" t="str">
            <v>MARS:is-06</v>
          </cell>
          <cell r="K173" t="str">
            <v>MARS:bs-06</v>
          </cell>
          <cell r="L173" t="str">
            <v>MARS:bspit-06</v>
          </cell>
          <cell r="M173" t="str">
            <v>MARS:ftp-06</v>
          </cell>
          <cell r="N173" t="str">
            <v>MARS:stat-06</v>
          </cell>
          <cell r="O173" t="str">
            <v>MARS:isall-06</v>
          </cell>
          <cell r="V173" t="str">
            <v>August YTD</v>
          </cell>
        </row>
        <row r="174">
          <cell r="D174">
            <v>2007</v>
          </cell>
          <cell r="G174" t="str">
            <v>MARS:is-06</v>
          </cell>
          <cell r="I174" t="str">
            <v>Budget</v>
          </cell>
          <cell r="J174" t="str">
            <v>MARS:is-06</v>
          </cell>
          <cell r="K174" t="str">
            <v>MARS:bs-06</v>
          </cell>
          <cell r="L174" t="str">
            <v>MARS:bs-06</v>
          </cell>
          <cell r="M174" t="str">
            <v>MARS:ftp-06</v>
          </cell>
          <cell r="N174" t="str">
            <v>MARS:stat-06</v>
          </cell>
          <cell r="O174" t="str">
            <v>MARS:isall-06</v>
          </cell>
          <cell r="V174" t="str">
            <v>September YTD</v>
          </cell>
        </row>
        <row r="175">
          <cell r="D175">
            <v>2006</v>
          </cell>
          <cell r="G175" t="str">
            <v>MARS:isall-06</v>
          </cell>
          <cell r="I175" t="str">
            <v>CurrFcst</v>
          </cell>
          <cell r="J175" t="str">
            <v>MARS:isfcst98</v>
          </cell>
          <cell r="K175" t="str">
            <v>MARS:bsfcst01</v>
          </cell>
          <cell r="L175" t="str">
            <v>MARS:bsfcst01</v>
          </cell>
          <cell r="M175" t="str">
            <v>MARS:ftfcst98</v>
          </cell>
          <cell r="N175" t="str">
            <v>MARS:stfcst98</v>
          </cell>
          <cell r="O175" t="str">
            <v>MARS:alfcst98</v>
          </cell>
          <cell r="V175" t="str">
            <v>October YTD</v>
          </cell>
        </row>
        <row r="176">
          <cell r="D176">
            <v>2005</v>
          </cell>
          <cell r="G176" t="str">
            <v>MARS:stat-06</v>
          </cell>
          <cell r="I176" t="str">
            <v>PrFcst</v>
          </cell>
          <cell r="J176" t="str">
            <v>MARS:isfcst98</v>
          </cell>
          <cell r="K176" t="str">
            <v>MARS:bsfcst01</v>
          </cell>
          <cell r="L176" t="str">
            <v>MARS:bsfcst01</v>
          </cell>
          <cell r="M176" t="str">
            <v>MARS:ftfcst98</v>
          </cell>
          <cell r="N176" t="str">
            <v>MARS:stfcst98</v>
          </cell>
          <cell r="O176" t="str">
            <v>MARS:alfcst98</v>
          </cell>
          <cell r="V176" t="str">
            <v>November YTD</v>
          </cell>
        </row>
        <row r="177">
          <cell r="D177">
            <v>2004</v>
          </cell>
          <cell r="G177" t="str">
            <v>MARS:bs-06</v>
          </cell>
          <cell r="I177" t="str">
            <v>Momentum</v>
          </cell>
          <cell r="J177" t="str">
            <v>MARS:isfcst98</v>
          </cell>
          <cell r="K177" t="str">
            <v>MARS:bsfcst01</v>
          </cell>
          <cell r="L177" t="str">
            <v>MARS:bsfcst01</v>
          </cell>
          <cell r="M177" t="str">
            <v>MARS:ftfcst98</v>
          </cell>
          <cell r="N177" t="str">
            <v>MARS:stfcst98</v>
          </cell>
          <cell r="O177" t="str">
            <v>MARS:alfcst98</v>
          </cell>
          <cell r="V177" t="str">
            <v>December YTD</v>
          </cell>
        </row>
        <row r="178">
          <cell r="D178">
            <v>2003</v>
          </cell>
          <cell r="I178" t="str">
            <v>Tracks</v>
          </cell>
          <cell r="J178" t="str">
            <v>MARS:isfcst98</v>
          </cell>
          <cell r="K178" t="str">
            <v>MARS:bsfcst01</v>
          </cell>
          <cell r="L178" t="str">
            <v>MARS:bsfcst01</v>
          </cell>
          <cell r="M178" t="str">
            <v>MARS:ftfcst98</v>
          </cell>
          <cell r="N178" t="str">
            <v>MARS:stfcst98</v>
          </cell>
          <cell r="O178" t="str">
            <v>MARS:alfcst98</v>
          </cell>
          <cell r="T178">
            <v>365</v>
          </cell>
          <cell r="V178" t="str">
            <v>None</v>
          </cell>
        </row>
        <row r="179">
          <cell r="D179">
            <v>2002</v>
          </cell>
          <cell r="I179" t="str">
            <v>Base Case</v>
          </cell>
          <cell r="J179" t="str">
            <v>MARS:isfcst98</v>
          </cell>
          <cell r="K179" t="str">
            <v>MARS:bsfcst01</v>
          </cell>
          <cell r="L179" t="str">
            <v>MARS:bsfcst01</v>
          </cell>
          <cell r="M179" t="str">
            <v>MARS:ftfcst98</v>
          </cell>
          <cell r="N179" t="str">
            <v>MARS:stfcst98</v>
          </cell>
          <cell r="O179" t="str">
            <v>MARS:alfcst98</v>
          </cell>
        </row>
        <row r="180">
          <cell r="D180">
            <v>2001</v>
          </cell>
          <cell r="I180" t="str">
            <v>Target</v>
          </cell>
          <cell r="J180" t="str">
            <v>MARS:isfcst98</v>
          </cell>
          <cell r="K180" t="str">
            <v>MARS:bsfcst01</v>
          </cell>
          <cell r="L180" t="str">
            <v>MARS:bsfcst01</v>
          </cell>
          <cell r="M180" t="str">
            <v>MARS:ftfcst98</v>
          </cell>
          <cell r="N180" t="str">
            <v>MARS:stfcst98</v>
          </cell>
          <cell r="O180" t="str">
            <v>MARS:alfcst98</v>
          </cell>
        </row>
        <row r="181">
          <cell r="I181" t="str">
            <v>Prior 2</v>
          </cell>
          <cell r="J181" t="str">
            <v>MARS:isfcst98</v>
          </cell>
          <cell r="K181" t="str">
            <v>MARS:bsfcst01</v>
          </cell>
          <cell r="L181" t="str">
            <v>MARS:bsfcst01</v>
          </cell>
          <cell r="M181" t="str">
            <v>MARS:ftfcst98</v>
          </cell>
          <cell r="N181" t="str">
            <v>MARS:stfcst98</v>
          </cell>
          <cell r="O181" t="str">
            <v>MARS:alfcst98</v>
          </cell>
          <cell r="AC181">
            <v>30</v>
          </cell>
          <cell r="AD181">
            <v>365</v>
          </cell>
        </row>
        <row r="182">
          <cell r="I182" t="str">
            <v>Strat</v>
          </cell>
          <cell r="J182" t="str">
            <v>MARS:isfcst98</v>
          </cell>
          <cell r="K182" t="str">
            <v>MARS:bsfcst01</v>
          </cell>
          <cell r="L182" t="str">
            <v>MARS:bsfcst01</v>
          </cell>
          <cell r="M182" t="str">
            <v>MARS:ftfcst98</v>
          </cell>
          <cell r="N182" t="str">
            <v>MARS:stfcst98</v>
          </cell>
          <cell r="O182" t="str">
            <v>MARS:alfcst98</v>
          </cell>
        </row>
        <row r="183">
          <cell r="I183" t="str">
            <v>Init</v>
          </cell>
          <cell r="J183" t="str">
            <v>MARS:isfcst98</v>
          </cell>
          <cell r="K183" t="str">
            <v>MARS:bsfcst01</v>
          </cell>
          <cell r="L183" t="str">
            <v>MARS:bsfcst01</v>
          </cell>
          <cell r="M183" t="str">
            <v>MARS:ftfcst98</v>
          </cell>
          <cell r="N183" t="str">
            <v>MARS:stfcst98</v>
          </cell>
          <cell r="O183" t="str">
            <v>MARS:alfcst98</v>
          </cell>
        </row>
        <row r="184">
          <cell r="I184" t="str">
            <v>Pass 1</v>
          </cell>
          <cell r="J184" t="str">
            <v>MARS:is-06b</v>
          </cell>
          <cell r="K184" t="str">
            <v>MARS:bs-06b</v>
          </cell>
          <cell r="L184" t="str">
            <v>MARS:bs-06b</v>
          </cell>
          <cell r="M184" t="str">
            <v>MARS:ftp-06b</v>
          </cell>
          <cell r="N184" t="str">
            <v>MARS:stat-06b</v>
          </cell>
          <cell r="O184" t="str">
            <v>MARS:isall-06</v>
          </cell>
        </row>
        <row r="185">
          <cell r="I185" t="str">
            <v>Pass 2</v>
          </cell>
          <cell r="J185" t="str">
            <v>MARS:is-06b</v>
          </cell>
          <cell r="K185" t="str">
            <v>MARS:bs-06b</v>
          </cell>
          <cell r="L185" t="str">
            <v>MARS:bs-06b</v>
          </cell>
          <cell r="M185" t="str">
            <v>MARS:ftp-06b</v>
          </cell>
          <cell r="N185" t="str">
            <v>MARS:stat-06b</v>
          </cell>
          <cell r="O185" t="str">
            <v>MARS:isall-06</v>
          </cell>
        </row>
        <row r="186">
          <cell r="I186" t="str">
            <v>Prior Month</v>
          </cell>
          <cell r="J186" t="str">
            <v>MARS:is-06b</v>
          </cell>
          <cell r="K186" t="str">
            <v>MARS:bs-06b</v>
          </cell>
          <cell r="L186" t="str">
            <v>MARS:bs-06b</v>
          </cell>
          <cell r="M186" t="str">
            <v>MARS:ftp-06b</v>
          </cell>
          <cell r="N186" t="str">
            <v>MARS:stat-06b</v>
          </cell>
          <cell r="O186" t="str">
            <v>MARS:isall-06</v>
          </cell>
        </row>
        <row r="191">
          <cell r="I191" t="str">
            <v>Actual</v>
          </cell>
          <cell r="J191">
            <v>1</v>
          </cell>
          <cell r="K191" t="str">
            <v>TOTAL SHAREHOLDER'S EQUITY</v>
          </cell>
          <cell r="L191" t="str">
            <v>Actual</v>
          </cell>
          <cell r="T191">
            <v>365</v>
          </cell>
        </row>
        <row r="192">
          <cell r="D192">
            <v>2009</v>
          </cell>
          <cell r="G192" t="str">
            <v>MARS:bs-06</v>
          </cell>
          <cell r="J192" t="str">
            <v>Actual</v>
          </cell>
          <cell r="K192" t="str">
            <v>ALLOWANCE FOR LOAN LOSSES</v>
          </cell>
        </row>
        <row r="193">
          <cell r="D193">
            <v>2008</v>
          </cell>
          <cell r="E193">
            <v>4</v>
          </cell>
          <cell r="G193" t="str">
            <v>MARS:ftp-06</v>
          </cell>
          <cell r="I193" t="str">
            <v>Actual</v>
          </cell>
          <cell r="J193" t="str">
            <v>MARS:is-06</v>
          </cell>
          <cell r="K193" t="str">
            <v>MARS:bs-06</v>
          </cell>
          <cell r="L193" t="str">
            <v>MARS:bspit-06</v>
          </cell>
          <cell r="M193" t="str">
            <v>MARS:ftp-06</v>
          </cell>
          <cell r="N193" t="str">
            <v>MARS:stat-06</v>
          </cell>
          <cell r="O193" t="str">
            <v>MARS:isall-06</v>
          </cell>
        </row>
        <row r="194">
          <cell r="D194">
            <v>2007</v>
          </cell>
          <cell r="G194" t="str">
            <v>MARS:is-06</v>
          </cell>
          <cell r="I194" t="str">
            <v>Budget</v>
          </cell>
          <cell r="J194" t="str">
            <v>MARS:is-06</v>
          </cell>
          <cell r="K194" t="str">
            <v>MARS:bs-06</v>
          </cell>
          <cell r="L194" t="str">
            <v>MARS:bs-06</v>
          </cell>
          <cell r="M194" t="str">
            <v>MARS:ftp-06</v>
          </cell>
          <cell r="N194" t="str">
            <v>MARS:stat-06</v>
          </cell>
          <cell r="O194" t="str">
            <v>MARS:isall-06</v>
          </cell>
        </row>
        <row r="195">
          <cell r="D195">
            <v>2006</v>
          </cell>
          <cell r="G195" t="str">
            <v>MARS:isall-06</v>
          </cell>
          <cell r="I195" t="str">
            <v>CurrFcst</v>
          </cell>
          <cell r="J195" t="str">
            <v>MARS:isfcst98</v>
          </cell>
          <cell r="K195" t="str">
            <v>MARS:bsfcst01</v>
          </cell>
          <cell r="L195" t="str">
            <v>MARS:bsfcst01</v>
          </cell>
          <cell r="M195" t="str">
            <v>MARS:ftfcst98</v>
          </cell>
          <cell r="N195" t="str">
            <v>MARS:stfcst98</v>
          </cell>
          <cell r="O195" t="str">
            <v>MARS:alfcst98</v>
          </cell>
        </row>
        <row r="196">
          <cell r="D196">
            <v>2005</v>
          </cell>
          <cell r="G196" t="str">
            <v>MARS:stat-06</v>
          </cell>
          <cell r="I196" t="str">
            <v>PrFcst</v>
          </cell>
          <cell r="J196" t="str">
            <v>MARS:isfcst98</v>
          </cell>
          <cell r="K196" t="str">
            <v>MARS:bsfcst01</v>
          </cell>
          <cell r="L196" t="str">
            <v>MARS:bsfcst01</v>
          </cell>
          <cell r="M196" t="str">
            <v>MARS:ftfcst98</v>
          </cell>
          <cell r="N196" t="str">
            <v>MARS:stfcst98</v>
          </cell>
          <cell r="O196" t="str">
            <v>MARS:alfcst98</v>
          </cell>
        </row>
        <row r="197">
          <cell r="D197">
            <v>2004</v>
          </cell>
          <cell r="G197" t="str">
            <v>MARS:bspit-06</v>
          </cell>
          <cell r="I197" t="str">
            <v>Momentum</v>
          </cell>
          <cell r="J197" t="str">
            <v>MARS:isfcst98</v>
          </cell>
          <cell r="K197" t="str">
            <v>MARS:bsfcst01</v>
          </cell>
          <cell r="L197" t="str">
            <v>MARS:bsfcst01</v>
          </cell>
          <cell r="M197" t="str">
            <v>MARS:ftfcst98</v>
          </cell>
          <cell r="N197" t="str">
            <v>MARS:stfcst98</v>
          </cell>
          <cell r="O197" t="str">
            <v>MARS:alfcst98</v>
          </cell>
        </row>
        <row r="198">
          <cell r="D198">
            <v>2003</v>
          </cell>
          <cell r="I198" t="str">
            <v>Tracks</v>
          </cell>
          <cell r="J198" t="str">
            <v>MARS:isfcst98</v>
          </cell>
          <cell r="K198" t="str">
            <v>MARS:bsfcst01</v>
          </cell>
          <cell r="L198" t="str">
            <v>MARS:bsfcst01</v>
          </cell>
          <cell r="M198" t="str">
            <v>MARS:ftfcst98</v>
          </cell>
          <cell r="N198" t="str">
            <v>MARS:stfcst98</v>
          </cell>
          <cell r="O198" t="str">
            <v>MARS:alfcst98</v>
          </cell>
        </row>
        <row r="199">
          <cell r="D199">
            <v>2002</v>
          </cell>
          <cell r="I199" t="str">
            <v>Base Case</v>
          </cell>
          <cell r="J199" t="str">
            <v>MARS:isfcst98</v>
          </cell>
          <cell r="K199" t="str">
            <v>MARS:bsfcst01</v>
          </cell>
          <cell r="L199" t="str">
            <v>MARS:bsfcst01</v>
          </cell>
          <cell r="M199" t="str">
            <v>MARS:ftfcst98</v>
          </cell>
          <cell r="N199" t="str">
            <v>MARS:stfcst98</v>
          </cell>
          <cell r="O199" t="str">
            <v>MARS:alfcst98</v>
          </cell>
        </row>
        <row r="200">
          <cell r="D200">
            <v>2001</v>
          </cell>
          <cell r="I200" t="str">
            <v>Target</v>
          </cell>
          <cell r="J200" t="str">
            <v>MARS:isfcst98</v>
          </cell>
          <cell r="K200" t="str">
            <v>MARS:bsfcst01</v>
          </cell>
          <cell r="L200" t="str">
            <v>MARS:bsfcst01</v>
          </cell>
          <cell r="M200" t="str">
            <v>MARS:ftfcst98</v>
          </cell>
          <cell r="N200" t="str">
            <v>MARS:stfcst98</v>
          </cell>
          <cell r="O200" t="str">
            <v>MARS:alfcst98</v>
          </cell>
        </row>
        <row r="201">
          <cell r="I201" t="str">
            <v>Prior 2</v>
          </cell>
          <cell r="J201" t="str">
            <v>MARS:isfcst98</v>
          </cell>
          <cell r="K201" t="str">
            <v>MARS:bsfcst01</v>
          </cell>
          <cell r="L201" t="str">
            <v>MARS:bsfcst01</v>
          </cell>
          <cell r="M201" t="str">
            <v>MARS:ftfcst98</v>
          </cell>
          <cell r="N201" t="str">
            <v>MARS:stfcst98</v>
          </cell>
          <cell r="O201" t="str">
            <v>MARS:alfcst98</v>
          </cell>
        </row>
        <row r="202">
          <cell r="I202" t="str">
            <v>Strat</v>
          </cell>
          <cell r="J202" t="str">
            <v>MARS:isfcst98</v>
          </cell>
          <cell r="K202" t="str">
            <v>MARS:bsfcst01</v>
          </cell>
          <cell r="L202" t="str">
            <v>MARS:bsfcst01</v>
          </cell>
          <cell r="M202" t="str">
            <v>MARS:ftfcst98</v>
          </cell>
          <cell r="N202" t="str">
            <v>MARS:stfcst98</v>
          </cell>
          <cell r="O202" t="str">
            <v>MARS:alfcst98</v>
          </cell>
        </row>
        <row r="203">
          <cell r="I203" t="str">
            <v>Init</v>
          </cell>
          <cell r="J203" t="str">
            <v>MARS:isfcst98</v>
          </cell>
          <cell r="K203" t="str">
            <v>MARS:bsfcst01</v>
          </cell>
          <cell r="L203" t="str">
            <v>MARS:bsfcst01</v>
          </cell>
          <cell r="M203" t="str">
            <v>MARS:ftfcst98</v>
          </cell>
          <cell r="N203" t="str">
            <v>MARS:stfcst98</v>
          </cell>
          <cell r="O203" t="str">
            <v>MARS:alfcst98</v>
          </cell>
        </row>
        <row r="204">
          <cell r="I204" t="str">
            <v>Pass 1</v>
          </cell>
          <cell r="J204" t="str">
            <v>MARS:is-06b</v>
          </cell>
          <cell r="K204" t="str">
            <v>MARS:bs-06b</v>
          </cell>
          <cell r="L204" t="str">
            <v>MARS:bs-06b</v>
          </cell>
          <cell r="M204" t="str">
            <v>MARS:ftp-06b</v>
          </cell>
          <cell r="N204" t="str">
            <v>MARS:stat-06b</v>
          </cell>
          <cell r="O204" t="str">
            <v>MARS:isall-06</v>
          </cell>
        </row>
        <row r="205">
          <cell r="I205" t="str">
            <v>Pass 2</v>
          </cell>
          <cell r="J205" t="str">
            <v>MARS:is-06b</v>
          </cell>
          <cell r="K205" t="str">
            <v>MARS:bs-06b</v>
          </cell>
          <cell r="L205" t="str">
            <v>MARS:bs-06b</v>
          </cell>
          <cell r="M205" t="str">
            <v>MARS:ftp-06b</v>
          </cell>
          <cell r="N205" t="str">
            <v>MARS:stat-06b</v>
          </cell>
          <cell r="O205" t="str">
            <v>MARS:isall-06</v>
          </cell>
        </row>
        <row r="206">
          <cell r="I206" t="str">
            <v>Prior Month</v>
          </cell>
          <cell r="J206" t="str">
            <v>MARS:is-06b</v>
          </cell>
          <cell r="K206" t="str">
            <v>MARS:bs-06b</v>
          </cell>
          <cell r="L206" t="str">
            <v>MARS:bs-06b</v>
          </cell>
          <cell r="M206" t="str">
            <v>MARS:ftp-06b</v>
          </cell>
          <cell r="N206" t="str">
            <v>MARS:stat-06b</v>
          </cell>
          <cell r="O206" t="str">
            <v>MARS:isall-06</v>
          </cell>
        </row>
        <row r="207">
          <cell r="I207" t="str">
            <v>Budget</v>
          </cell>
          <cell r="J207">
            <v>2</v>
          </cell>
          <cell r="K207" t="str">
            <v>TOTAL EQ</v>
          </cell>
          <cell r="L207" t="str">
            <v>Budget</v>
          </cell>
          <cell r="AC207">
            <v>30</v>
          </cell>
          <cell r="AD207">
            <v>365</v>
          </cell>
        </row>
        <row r="208">
          <cell r="D208">
            <v>2009</v>
          </cell>
          <cell r="G208" t="str">
            <v>MARS:bs-06</v>
          </cell>
          <cell r="I208">
            <v>2006</v>
          </cell>
          <cell r="J208" t="str">
            <v>Budget</v>
          </cell>
          <cell r="K208" t="str">
            <v>TOTAL LLR</v>
          </cell>
        </row>
        <row r="209">
          <cell r="D209">
            <v>2008</v>
          </cell>
          <cell r="E209">
            <v>4</v>
          </cell>
          <cell r="G209" t="str">
            <v>MARS:ftp-06</v>
          </cell>
          <cell r="I209" t="str">
            <v>Actual</v>
          </cell>
          <cell r="J209" t="str">
            <v>MARS:is-06</v>
          </cell>
          <cell r="K209" t="str">
            <v>MARS:bs-06</v>
          </cell>
          <cell r="L209" t="str">
            <v>MARS:bspit-06</v>
          </cell>
          <cell r="M209" t="str">
            <v>MARS:ftp-06</v>
          </cell>
          <cell r="N209" t="str">
            <v>MARS:stat-06</v>
          </cell>
          <cell r="O209" t="str">
            <v>MARS:isall-06</v>
          </cell>
        </row>
        <row r="210">
          <cell r="D210">
            <v>2007</v>
          </cell>
          <cell r="G210" t="str">
            <v>MARS:is-06</v>
          </cell>
          <cell r="I210" t="str">
            <v>Budget</v>
          </cell>
          <cell r="J210" t="str">
            <v>MARS:is-06</v>
          </cell>
          <cell r="K210" t="str">
            <v>MARS:bs-06</v>
          </cell>
          <cell r="L210" t="str">
            <v>MARS:bs-06</v>
          </cell>
          <cell r="M210" t="str">
            <v>MARS:ftp-06</v>
          </cell>
          <cell r="N210" t="str">
            <v>MARS:stat-06</v>
          </cell>
          <cell r="O210" t="str">
            <v>MARS:isall-06</v>
          </cell>
        </row>
        <row r="211">
          <cell r="D211">
            <v>2006</v>
          </cell>
          <cell r="G211" t="str">
            <v>MARS:isall-06</v>
          </cell>
          <cell r="I211" t="str">
            <v>CurrFcst</v>
          </cell>
          <cell r="J211" t="str">
            <v>MARS:isfcst98</v>
          </cell>
          <cell r="K211" t="str">
            <v>MARS:bsfcst01</v>
          </cell>
          <cell r="L211" t="str">
            <v>MARS:bsfcst01</v>
          </cell>
          <cell r="M211" t="str">
            <v>MARS:ftfcst98</v>
          </cell>
          <cell r="N211" t="str">
            <v>MARS:stfcst98</v>
          </cell>
          <cell r="O211" t="str">
            <v>MARS:alfcst98</v>
          </cell>
        </row>
        <row r="212">
          <cell r="D212">
            <v>2005</v>
          </cell>
          <cell r="G212" t="str">
            <v>MARS:stat-06</v>
          </cell>
          <cell r="I212" t="str">
            <v>PrFcst</v>
          </cell>
          <cell r="J212" t="str">
            <v>MARS:isfcst98</v>
          </cell>
          <cell r="K212" t="str">
            <v>MARS:bsfcst01</v>
          </cell>
          <cell r="L212" t="str">
            <v>MARS:bsfcst01</v>
          </cell>
          <cell r="M212" t="str">
            <v>MARS:ftfcst98</v>
          </cell>
          <cell r="N212" t="str">
            <v>MARS:stfcst98</v>
          </cell>
          <cell r="O212" t="str">
            <v>MARS:alfcst98</v>
          </cell>
        </row>
        <row r="213">
          <cell r="D213">
            <v>2004</v>
          </cell>
          <cell r="G213" t="str">
            <v>MARS:bs-06</v>
          </cell>
          <cell r="I213" t="str">
            <v>Momentum</v>
          </cell>
          <cell r="J213" t="str">
            <v>MARS:isfcst98</v>
          </cell>
          <cell r="K213" t="str">
            <v>MARS:bsfcst01</v>
          </cell>
          <cell r="L213" t="str">
            <v>MARS:bsfcst01</v>
          </cell>
          <cell r="M213" t="str">
            <v>MARS:ftfcst98</v>
          </cell>
          <cell r="N213" t="str">
            <v>MARS:stfcst98</v>
          </cell>
          <cell r="O213" t="str">
            <v>MARS:alfcst98</v>
          </cell>
        </row>
        <row r="214">
          <cell r="D214">
            <v>2003</v>
          </cell>
          <cell r="I214" t="str">
            <v>Tracks</v>
          </cell>
          <cell r="J214" t="str">
            <v>MARS:isfcst98</v>
          </cell>
          <cell r="K214" t="str">
            <v>MARS:bsfcst01</v>
          </cell>
          <cell r="L214" t="str">
            <v>MARS:bsfcst01</v>
          </cell>
          <cell r="M214" t="str">
            <v>MARS:ftfcst98</v>
          </cell>
          <cell r="N214" t="str">
            <v>MARS:stfcst98</v>
          </cell>
          <cell r="O214" t="str">
            <v>MARS:alfcst98</v>
          </cell>
        </row>
        <row r="215">
          <cell r="D215">
            <v>2002</v>
          </cell>
          <cell r="I215" t="str">
            <v>Base Case</v>
          </cell>
          <cell r="J215" t="str">
            <v>MARS:isfcst98</v>
          </cell>
          <cell r="K215" t="str">
            <v>MARS:bsfcst01</v>
          </cell>
          <cell r="L215" t="str">
            <v>MARS:bsfcst01</v>
          </cell>
          <cell r="M215" t="str">
            <v>MARS:ftfcst98</v>
          </cell>
          <cell r="N215" t="str">
            <v>MARS:stfcst98</v>
          </cell>
          <cell r="O215" t="str">
            <v>MARS:alfcst98</v>
          </cell>
        </row>
        <row r="216">
          <cell r="D216">
            <v>2001</v>
          </cell>
          <cell r="I216" t="str">
            <v>Target</v>
          </cell>
          <cell r="J216" t="str">
            <v>MARS:isfcst98</v>
          </cell>
          <cell r="K216" t="str">
            <v>MARS:bsfcst01</v>
          </cell>
          <cell r="L216" t="str">
            <v>MARS:bsfcst01</v>
          </cell>
          <cell r="M216" t="str">
            <v>MARS:ftfcst98</v>
          </cell>
          <cell r="N216" t="str">
            <v>MARS:stfcst98</v>
          </cell>
          <cell r="O216" t="str">
            <v>MARS:alfcst98</v>
          </cell>
        </row>
        <row r="217">
          <cell r="I217" t="str">
            <v>Prior 2</v>
          </cell>
          <cell r="J217" t="str">
            <v>MARS:isfcst98</v>
          </cell>
          <cell r="K217" t="str">
            <v>MARS:bsfcst01</v>
          </cell>
          <cell r="L217" t="str">
            <v>MARS:bsfcst01</v>
          </cell>
          <cell r="M217" t="str">
            <v>MARS:ftfcst98</v>
          </cell>
          <cell r="N217" t="str">
            <v>MARS:stfcst98</v>
          </cell>
          <cell r="O217" t="str">
            <v>MARS:alfcst98</v>
          </cell>
        </row>
        <row r="218">
          <cell r="I218" t="str">
            <v>Strat</v>
          </cell>
          <cell r="J218" t="str">
            <v>MARS:isfcst98</v>
          </cell>
          <cell r="K218" t="str">
            <v>MARS:bsfcst01</v>
          </cell>
          <cell r="L218" t="str">
            <v>MARS:bsfcst01</v>
          </cell>
          <cell r="M218" t="str">
            <v>MARS:ftfcst98</v>
          </cell>
          <cell r="N218" t="str">
            <v>MARS:stfcst98</v>
          </cell>
          <cell r="O218" t="str">
            <v>MARS:alfcst98</v>
          </cell>
        </row>
        <row r="219">
          <cell r="I219" t="str">
            <v>Init</v>
          </cell>
          <cell r="J219" t="str">
            <v>MARS:isfcst98</v>
          </cell>
          <cell r="K219" t="str">
            <v>MARS:bsfcst01</v>
          </cell>
          <cell r="L219" t="str">
            <v>MARS:bsfcst01</v>
          </cell>
          <cell r="M219" t="str">
            <v>MARS:ftfcst98</v>
          </cell>
          <cell r="N219" t="str">
            <v>MARS:stfcst98</v>
          </cell>
          <cell r="O219" t="str">
            <v>MARS:alfcst98</v>
          </cell>
        </row>
        <row r="220">
          <cell r="I220" t="str">
            <v>Pass 1</v>
          </cell>
          <cell r="J220" t="str">
            <v>MARS:is-06b</v>
          </cell>
          <cell r="K220" t="str">
            <v>MARS:bs-06b</v>
          </cell>
          <cell r="L220" t="str">
            <v>MARS:bs-06b</v>
          </cell>
          <cell r="M220" t="str">
            <v>MARS:ftp-06b</v>
          </cell>
          <cell r="N220" t="str">
            <v>MARS:stat-06b</v>
          </cell>
          <cell r="O220" t="str">
            <v>MARS:isall-06</v>
          </cell>
        </row>
        <row r="221">
          <cell r="I221" t="str">
            <v>Pass 2</v>
          </cell>
          <cell r="J221" t="str">
            <v>MARS:is-06b</v>
          </cell>
          <cell r="K221" t="str">
            <v>MARS:bs-06b</v>
          </cell>
          <cell r="L221" t="str">
            <v>MARS:bs-06b</v>
          </cell>
          <cell r="M221" t="str">
            <v>MARS:ftp-06b</v>
          </cell>
          <cell r="N221" t="str">
            <v>MARS:stat-06b</v>
          </cell>
          <cell r="O221" t="str">
            <v>MARS:isall-06</v>
          </cell>
        </row>
        <row r="222">
          <cell r="I222" t="str">
            <v>Prior Month</v>
          </cell>
          <cell r="J222" t="str">
            <v>MARS:is-06b</v>
          </cell>
          <cell r="K222" t="str">
            <v>MARS:bs-06b</v>
          </cell>
          <cell r="L222" t="str">
            <v>MARS:bs-06b</v>
          </cell>
          <cell r="M222" t="str">
            <v>MARS:ftp-06b</v>
          </cell>
          <cell r="N222" t="str">
            <v>MARS:stat-06b</v>
          </cell>
          <cell r="O222" t="str">
            <v>MARS:isall-06</v>
          </cell>
        </row>
        <row r="224">
          <cell r="I224" t="str">
            <v>Budget</v>
          </cell>
          <cell r="J224">
            <v>2</v>
          </cell>
          <cell r="K224" t="str">
            <v>TOTAL EQ</v>
          </cell>
          <cell r="L224" t="str">
            <v>Budget</v>
          </cell>
        </row>
        <row r="225">
          <cell r="D225">
            <v>2009</v>
          </cell>
          <cell r="G225" t="str">
            <v>MARS:bs-06</v>
          </cell>
          <cell r="I225">
            <v>2006</v>
          </cell>
          <cell r="J225" t="str">
            <v>Budget</v>
          </cell>
          <cell r="K225" t="str">
            <v>TOTAL LLR</v>
          </cell>
        </row>
        <row r="226">
          <cell r="D226">
            <v>2008</v>
          </cell>
          <cell r="E226">
            <v>4</v>
          </cell>
          <cell r="G226" t="str">
            <v>MARS:ftp-06</v>
          </cell>
          <cell r="I226" t="str">
            <v>Actual</v>
          </cell>
          <cell r="J226" t="str">
            <v>MARS:is-06</v>
          </cell>
          <cell r="K226" t="str">
            <v>MARS:bs-06</v>
          </cell>
          <cell r="L226" t="str">
            <v>MARS:bspit-06</v>
          </cell>
          <cell r="M226" t="str">
            <v>MARS:ftp-06</v>
          </cell>
          <cell r="N226" t="str">
            <v>MARS:stat-06</v>
          </cell>
          <cell r="O226" t="str">
            <v>MARS:isall-06</v>
          </cell>
        </row>
        <row r="227">
          <cell r="D227">
            <v>2007</v>
          </cell>
          <cell r="G227" t="str">
            <v>MARS:is-06</v>
          </cell>
          <cell r="I227" t="str">
            <v>Budget</v>
          </cell>
          <cell r="J227" t="str">
            <v>MARS:is-06</v>
          </cell>
          <cell r="K227" t="str">
            <v>MARS:bs-06</v>
          </cell>
          <cell r="L227" t="str">
            <v>MARS:bs-06</v>
          </cell>
          <cell r="M227" t="str">
            <v>MARS:ftp-06</v>
          </cell>
          <cell r="N227" t="str">
            <v>MARS:stat-06</v>
          </cell>
          <cell r="O227" t="str">
            <v>MARS:isall-06</v>
          </cell>
        </row>
        <row r="228">
          <cell r="D228">
            <v>2006</v>
          </cell>
          <cell r="G228" t="str">
            <v>MARS:isall-06</v>
          </cell>
          <cell r="I228" t="str">
            <v>CurrFcst</v>
          </cell>
          <cell r="J228" t="str">
            <v>MARS:isfcst98</v>
          </cell>
          <cell r="K228" t="str">
            <v>MARS:bsfcst01</v>
          </cell>
          <cell r="L228" t="str">
            <v>MARS:bsfcst01</v>
          </cell>
          <cell r="M228" t="str">
            <v>MARS:ftfcst98</v>
          </cell>
          <cell r="N228" t="str">
            <v>MARS:stfcst98</v>
          </cell>
          <cell r="O228" t="str">
            <v>MARS:alfcst98</v>
          </cell>
        </row>
        <row r="229">
          <cell r="D229">
            <v>2005</v>
          </cell>
          <cell r="G229" t="str">
            <v>MARS:stat-06</v>
          </cell>
          <cell r="I229" t="str">
            <v>PrFcst</v>
          </cell>
          <cell r="J229" t="str">
            <v>MARS:isfcst98</v>
          </cell>
          <cell r="K229" t="str">
            <v>MARS:bsfcst01</v>
          </cell>
          <cell r="L229" t="str">
            <v>MARS:bsfcst01</v>
          </cell>
          <cell r="M229" t="str">
            <v>MARS:ftfcst98</v>
          </cell>
          <cell r="N229" t="str">
            <v>MARS:stfcst98</v>
          </cell>
          <cell r="O229" t="str">
            <v>MARS:alfcst98</v>
          </cell>
        </row>
        <row r="230">
          <cell r="D230">
            <v>2004</v>
          </cell>
          <cell r="G230" t="str">
            <v>MARS:bs-06</v>
          </cell>
          <cell r="I230" t="str">
            <v>Momentum</v>
          </cell>
          <cell r="J230" t="str">
            <v>MARS:isfcst98</v>
          </cell>
          <cell r="K230" t="str">
            <v>MARS:bsfcst01</v>
          </cell>
          <cell r="L230" t="str">
            <v>MARS:bsfcst01</v>
          </cell>
          <cell r="M230" t="str">
            <v>MARS:ftfcst98</v>
          </cell>
          <cell r="N230" t="str">
            <v>MARS:stfcst98</v>
          </cell>
          <cell r="O230" t="str">
            <v>MARS:alfcst98</v>
          </cell>
        </row>
        <row r="231">
          <cell r="D231">
            <v>2003</v>
          </cell>
          <cell r="I231" t="str">
            <v>Tracks</v>
          </cell>
          <cell r="J231" t="str">
            <v>MARS:isfcst98</v>
          </cell>
          <cell r="K231" t="str">
            <v>MARS:bsfcst01</v>
          </cell>
          <cell r="L231" t="str">
            <v>MARS:bsfcst01</v>
          </cell>
          <cell r="M231" t="str">
            <v>MARS:ftfcst98</v>
          </cell>
          <cell r="N231" t="str">
            <v>MARS:stfcst98</v>
          </cell>
          <cell r="O231" t="str">
            <v>MARS:alfcst98</v>
          </cell>
        </row>
        <row r="232">
          <cell r="D232">
            <v>2002</v>
          </cell>
          <cell r="I232" t="str">
            <v>Base Case</v>
          </cell>
          <cell r="J232" t="str">
            <v>MARS:isfcst98</v>
          </cell>
          <cell r="K232" t="str">
            <v>MARS:bsfcst01</v>
          </cell>
          <cell r="L232" t="str">
            <v>MARS:bsfcst01</v>
          </cell>
          <cell r="M232" t="str">
            <v>MARS:ftfcst98</v>
          </cell>
          <cell r="N232" t="str">
            <v>MARS:stfcst98</v>
          </cell>
          <cell r="O232" t="str">
            <v>MARS:alfcst98</v>
          </cell>
        </row>
        <row r="233">
          <cell r="D233">
            <v>2001</v>
          </cell>
          <cell r="I233" t="str">
            <v>Target</v>
          </cell>
          <cell r="J233" t="str">
            <v>MARS:isfcst98</v>
          </cell>
          <cell r="K233" t="str">
            <v>MARS:bsfcst01</v>
          </cell>
          <cell r="L233" t="str">
            <v>MARS:bsfcst01</v>
          </cell>
          <cell r="M233" t="str">
            <v>MARS:ftfcst98</v>
          </cell>
          <cell r="N233" t="str">
            <v>MARS:stfcst98</v>
          </cell>
          <cell r="O233" t="str">
            <v>MARS:alfcst98</v>
          </cell>
          <cell r="AC233">
            <v>243</v>
          </cell>
          <cell r="AD233">
            <v>365</v>
          </cell>
        </row>
        <row r="234">
          <cell r="I234" t="str">
            <v>Prior 2</v>
          </cell>
          <cell r="J234" t="str">
            <v>MARS:isfcst98</v>
          </cell>
          <cell r="K234" t="str">
            <v>MARS:bsfcst01</v>
          </cell>
          <cell r="L234" t="str">
            <v>MARS:bsfcst01</v>
          </cell>
          <cell r="M234" t="str">
            <v>MARS:ftfcst98</v>
          </cell>
          <cell r="N234" t="str">
            <v>MARS:stfcst98</v>
          </cell>
          <cell r="O234" t="str">
            <v>MARS:alfcst98</v>
          </cell>
        </row>
        <row r="235">
          <cell r="I235" t="str">
            <v>Strat</v>
          </cell>
          <cell r="J235" t="str">
            <v>MARS:isfcst98</v>
          </cell>
          <cell r="K235" t="str">
            <v>MARS:bsfcst01</v>
          </cell>
          <cell r="L235" t="str">
            <v>MARS:bsfcst01</v>
          </cell>
          <cell r="M235" t="str">
            <v>MARS:ftfcst98</v>
          </cell>
          <cell r="N235" t="str">
            <v>MARS:stfcst98</v>
          </cell>
          <cell r="O235" t="str">
            <v>MARS:alfcst98</v>
          </cell>
        </row>
        <row r="236">
          <cell r="G236" t="str">
            <v>Currfcst</v>
          </cell>
          <cell r="I236" t="str">
            <v>Init</v>
          </cell>
          <cell r="J236" t="str">
            <v>MARS:isfcst98</v>
          </cell>
          <cell r="K236" t="str">
            <v>MARS:bsfcst01</v>
          </cell>
          <cell r="L236" t="str">
            <v>MARS:bsfcst01</v>
          </cell>
          <cell r="M236" t="str">
            <v>MARS:ftfcst98</v>
          </cell>
          <cell r="N236" t="str">
            <v>MARS:stfcst98</v>
          </cell>
          <cell r="O236" t="str">
            <v>MARS:alfcst98</v>
          </cell>
        </row>
        <row r="237">
          <cell r="I237" t="str">
            <v>Pass 1</v>
          </cell>
          <cell r="J237" t="str">
            <v>MARS:is-06b</v>
          </cell>
          <cell r="K237" t="str">
            <v>MARS:bs-06b</v>
          </cell>
          <cell r="L237" t="str">
            <v>MARS:bs-06b</v>
          </cell>
          <cell r="M237" t="str">
            <v>MARS:ftp-06b</v>
          </cell>
          <cell r="N237" t="str">
            <v>MARS:stat-06b</v>
          </cell>
          <cell r="O237" t="str">
            <v>MARS:isall-06</v>
          </cell>
        </row>
        <row r="238">
          <cell r="I238" t="str">
            <v>Pass 2</v>
          </cell>
          <cell r="J238" t="str">
            <v>MARS:is-06b</v>
          </cell>
          <cell r="K238" t="str">
            <v>MARS:bs-06b</v>
          </cell>
          <cell r="L238" t="str">
            <v>MARS:bs-06b</v>
          </cell>
          <cell r="M238" t="str">
            <v>MARS:ftp-06b</v>
          </cell>
          <cell r="N238" t="str">
            <v>MARS:stat-06b</v>
          </cell>
          <cell r="O238" t="str">
            <v>MARS:isall-06</v>
          </cell>
        </row>
        <row r="239">
          <cell r="I239" t="str">
            <v>Prior Month</v>
          </cell>
          <cell r="J239" t="str">
            <v>MARS:is-06b</v>
          </cell>
          <cell r="K239" t="str">
            <v>MARS:bs-06b</v>
          </cell>
          <cell r="L239" t="str">
            <v>MARS:bs-06b</v>
          </cell>
          <cell r="M239" t="str">
            <v>MARS:ftp-06b</v>
          </cell>
          <cell r="N239" t="str">
            <v>MARS:stat-06b</v>
          </cell>
          <cell r="O239" t="str">
            <v>MARS:isall-06</v>
          </cell>
        </row>
        <row r="241">
          <cell r="I241" t="str">
            <v>Budget</v>
          </cell>
          <cell r="J241">
            <v>2</v>
          </cell>
          <cell r="L241" t="str">
            <v>Budget</v>
          </cell>
        </row>
        <row r="242">
          <cell r="D242">
            <v>2009</v>
          </cell>
          <cell r="G242" t="str">
            <v>MARS:bs-06</v>
          </cell>
          <cell r="I242">
            <v>2006</v>
          </cell>
          <cell r="J242" t="str">
            <v>Budget</v>
          </cell>
        </row>
        <row r="243">
          <cell r="D243">
            <v>2008</v>
          </cell>
          <cell r="E243">
            <v>4</v>
          </cell>
          <cell r="G243" t="str">
            <v>MARS:ftp-06</v>
          </cell>
          <cell r="I243" t="str">
            <v>Actual</v>
          </cell>
          <cell r="J243" t="str">
            <v>MARS:is-06</v>
          </cell>
          <cell r="K243" t="str">
            <v>MARS:bs-06</v>
          </cell>
          <cell r="L243" t="str">
            <v>MARS:bspit-06</v>
          </cell>
          <cell r="M243" t="str">
            <v>MARS:ftp-06</v>
          </cell>
          <cell r="N243" t="str">
            <v>MARS:stat-06</v>
          </cell>
          <cell r="O243" t="str">
            <v>MARS:isall-06</v>
          </cell>
        </row>
        <row r="244">
          <cell r="D244">
            <v>2007</v>
          </cell>
          <cell r="G244" t="str">
            <v>MARS:is-06</v>
          </cell>
          <cell r="I244" t="str">
            <v>Budget</v>
          </cell>
          <cell r="J244" t="str">
            <v>MARS:is-06</v>
          </cell>
          <cell r="K244" t="str">
            <v>MARS:bs-06</v>
          </cell>
          <cell r="L244" t="str">
            <v>MARS:bs-06</v>
          </cell>
          <cell r="M244" t="str">
            <v>MARS:ftp-06</v>
          </cell>
          <cell r="N244" t="str">
            <v>MARS:stat-06</v>
          </cell>
          <cell r="O244" t="str">
            <v>MARS:isall-06</v>
          </cell>
        </row>
        <row r="245">
          <cell r="D245">
            <v>2006</v>
          </cell>
          <cell r="G245" t="str">
            <v>MARS:isall-06</v>
          </cell>
          <cell r="I245" t="str">
            <v>CurrFcst</v>
          </cell>
          <cell r="J245" t="str">
            <v>MARS:isfcst98</v>
          </cell>
          <cell r="K245" t="str">
            <v>MARS:bsfcst01</v>
          </cell>
          <cell r="L245" t="str">
            <v>MARS:bsfcst01</v>
          </cell>
          <cell r="M245" t="str">
            <v>MARS:ftfcst98</v>
          </cell>
          <cell r="N245" t="str">
            <v>MARS:stfcst98</v>
          </cell>
          <cell r="O245" t="str">
            <v>MARS:alfcst98</v>
          </cell>
        </row>
        <row r="246">
          <cell r="D246">
            <v>2005</v>
          </cell>
          <cell r="G246" t="str">
            <v>MARS:stat-06</v>
          </cell>
          <cell r="I246" t="str">
            <v>PrFcst</v>
          </cell>
          <cell r="J246" t="str">
            <v>MARS:isfcst98</v>
          </cell>
          <cell r="K246" t="str">
            <v>MARS:bsfcst01</v>
          </cell>
          <cell r="L246" t="str">
            <v>MARS:bsfcst01</v>
          </cell>
          <cell r="M246" t="str">
            <v>MARS:ftfcst98</v>
          </cell>
          <cell r="N246" t="str">
            <v>MARS:stfcst98</v>
          </cell>
          <cell r="O246" t="str">
            <v>MARS:alfcst98</v>
          </cell>
        </row>
        <row r="247">
          <cell r="D247">
            <v>2004</v>
          </cell>
          <cell r="G247" t="str">
            <v>MARS:bs-06</v>
          </cell>
          <cell r="I247" t="str">
            <v>Momentum</v>
          </cell>
          <cell r="J247" t="str">
            <v>MARS:isfcst98</v>
          </cell>
          <cell r="K247" t="str">
            <v>MARS:bsfcst01</v>
          </cell>
          <cell r="L247" t="str">
            <v>MARS:bsfcst01</v>
          </cell>
          <cell r="M247" t="str">
            <v>MARS:ftfcst98</v>
          </cell>
          <cell r="N247" t="str">
            <v>MARS:stfcst98</v>
          </cell>
          <cell r="O247" t="str">
            <v>MARS:alfcst98</v>
          </cell>
        </row>
        <row r="248">
          <cell r="D248">
            <v>2003</v>
          </cell>
          <cell r="I248" t="str">
            <v>Tracks</v>
          </cell>
          <cell r="J248" t="str">
            <v>MARS:isfcst98</v>
          </cell>
          <cell r="K248" t="str">
            <v>MARS:bsfcst01</v>
          </cell>
          <cell r="L248" t="str">
            <v>MARS:bsfcst01</v>
          </cell>
          <cell r="M248" t="str">
            <v>MARS:ftfcst98</v>
          </cell>
          <cell r="N248" t="str">
            <v>MARS:stfcst98</v>
          </cell>
          <cell r="O248" t="str">
            <v>MARS:alfcst98</v>
          </cell>
        </row>
        <row r="249">
          <cell r="D249">
            <v>2002</v>
          </cell>
          <cell r="I249" t="str">
            <v>Base Case</v>
          </cell>
          <cell r="J249" t="str">
            <v>MARS:isfcst98</v>
          </cell>
          <cell r="K249" t="str">
            <v>MARS:bsfcst01</v>
          </cell>
          <cell r="L249" t="str">
            <v>MARS:bsfcst01</v>
          </cell>
          <cell r="M249" t="str">
            <v>MARS:ftfcst98</v>
          </cell>
          <cell r="N249" t="str">
            <v>MARS:stfcst98</v>
          </cell>
          <cell r="O249" t="str">
            <v>MARS:alfcst98</v>
          </cell>
        </row>
        <row r="250">
          <cell r="D250">
            <v>2001</v>
          </cell>
          <cell r="I250" t="str">
            <v>Target</v>
          </cell>
          <cell r="J250" t="str">
            <v>MARS:isfcst98</v>
          </cell>
          <cell r="K250" t="str">
            <v>MARS:bsfcst01</v>
          </cell>
          <cell r="L250" t="str">
            <v>MARS:bsfcst01</v>
          </cell>
          <cell r="M250" t="str">
            <v>MARS:ftfcst98</v>
          </cell>
          <cell r="N250" t="str">
            <v>MARS:stfcst98</v>
          </cell>
          <cell r="O250" t="str">
            <v>MARS:alfcst98</v>
          </cell>
        </row>
        <row r="251">
          <cell r="I251" t="str">
            <v>Prior 2</v>
          </cell>
          <cell r="J251" t="str">
            <v>MARS:isfcst98</v>
          </cell>
          <cell r="K251" t="str">
            <v>MARS:bsfcst01</v>
          </cell>
          <cell r="L251" t="str">
            <v>MARS:bsfcst01</v>
          </cell>
          <cell r="M251" t="str">
            <v>MARS:ftfcst98</v>
          </cell>
          <cell r="N251" t="str">
            <v>MARS:stfcst98</v>
          </cell>
          <cell r="O251" t="str">
            <v>MARS:alfcst98</v>
          </cell>
        </row>
        <row r="252">
          <cell r="I252" t="str">
            <v>Strat</v>
          </cell>
          <cell r="J252" t="str">
            <v>MARS:isfcst98</v>
          </cell>
          <cell r="K252" t="str">
            <v>MARS:bsfcst01</v>
          </cell>
          <cell r="L252" t="str">
            <v>MARS:bsfcst01</v>
          </cell>
          <cell r="M252" t="str">
            <v>MARS:ftfcst98</v>
          </cell>
          <cell r="N252" t="str">
            <v>MARS:stfcst98</v>
          </cell>
          <cell r="O252" t="str">
            <v>MARS:alfcst98</v>
          </cell>
        </row>
        <row r="253">
          <cell r="I253" t="str">
            <v>Init</v>
          </cell>
          <cell r="J253" t="str">
            <v>MARS:isfcst98</v>
          </cell>
          <cell r="K253" t="str">
            <v>MARS:bsfcst01</v>
          </cell>
          <cell r="L253" t="str">
            <v>MARS:bsfcst01</v>
          </cell>
          <cell r="M253" t="str">
            <v>MARS:ftfcst98</v>
          </cell>
          <cell r="N253" t="str">
            <v>MARS:stfcst98</v>
          </cell>
          <cell r="O253" t="str">
            <v>MARS:alfcst98</v>
          </cell>
        </row>
        <row r="254">
          <cell r="I254" t="str">
            <v>Pass 1</v>
          </cell>
          <cell r="J254" t="str">
            <v>MARS:is-06b</v>
          </cell>
          <cell r="K254" t="str">
            <v>MARS:bs-06b</v>
          </cell>
          <cell r="L254" t="str">
            <v>MARS:bs-06b</v>
          </cell>
          <cell r="M254" t="str">
            <v>MARS:ftp-06b</v>
          </cell>
          <cell r="N254" t="str">
            <v>MARS:stat-06b</v>
          </cell>
          <cell r="O254" t="str">
            <v>MARS:isall-06</v>
          </cell>
        </row>
        <row r="255">
          <cell r="I255" t="str">
            <v>Pass 2</v>
          </cell>
          <cell r="J255" t="str">
            <v>MARS:is-06b</v>
          </cell>
          <cell r="K255" t="str">
            <v>MARS:bs-06b</v>
          </cell>
          <cell r="L255" t="str">
            <v>MARS:bs-06b</v>
          </cell>
          <cell r="M255" t="str">
            <v>MARS:ftp-06b</v>
          </cell>
          <cell r="N255" t="str">
            <v>MARS:stat-06b</v>
          </cell>
          <cell r="O255" t="str">
            <v>MARS:isall-06</v>
          </cell>
        </row>
        <row r="256">
          <cell r="I256" t="str">
            <v>Prior Month</v>
          </cell>
          <cell r="J256" t="str">
            <v>MARS:is-06b</v>
          </cell>
          <cell r="K256" t="str">
            <v>MARS:bs-06b</v>
          </cell>
          <cell r="L256" t="str">
            <v>MARS:bs-06b</v>
          </cell>
          <cell r="M256" t="str">
            <v>MARS:ftp-06b</v>
          </cell>
          <cell r="N256" t="str">
            <v>MARS:stat-06b</v>
          </cell>
          <cell r="O256" t="str">
            <v>MARS:isall-06</v>
          </cell>
        </row>
        <row r="258">
          <cell r="I258" t="str">
            <v>None</v>
          </cell>
          <cell r="J258">
            <v>15</v>
          </cell>
          <cell r="L258" t="str">
            <v>None</v>
          </cell>
        </row>
        <row r="259">
          <cell r="D259" t="str">
            <v>None</v>
          </cell>
          <cell r="G259">
            <v>0</v>
          </cell>
          <cell r="I259" t="str">
            <v>None</v>
          </cell>
          <cell r="J259" t="str">
            <v>None</v>
          </cell>
          <cell r="AC259">
            <v>243</v>
          </cell>
          <cell r="AD259">
            <v>365</v>
          </cell>
        </row>
        <row r="260">
          <cell r="D260">
            <v>2009</v>
          </cell>
          <cell r="E260">
            <v>1</v>
          </cell>
          <cell r="G260">
            <v>0</v>
          </cell>
          <cell r="I260" t="str">
            <v>Actual</v>
          </cell>
          <cell r="J260" t="e">
            <v>#N/A</v>
          </cell>
          <cell r="K260" t="e">
            <v>#N/A</v>
          </cell>
          <cell r="L260" t="e">
            <v>#N/A</v>
          </cell>
          <cell r="M260" t="e">
            <v>#N/A</v>
          </cell>
          <cell r="N260" t="e">
            <v>#N/A</v>
          </cell>
          <cell r="O260" t="e">
            <v>#N/A</v>
          </cell>
        </row>
        <row r="261">
          <cell r="D261">
            <v>2008</v>
          </cell>
          <cell r="G261">
            <v>0</v>
          </cell>
          <cell r="I261" t="str">
            <v>Budget</v>
          </cell>
          <cell r="J261" t="e">
            <v>#N/A</v>
          </cell>
          <cell r="K261" t="e">
            <v>#N/A</v>
          </cell>
          <cell r="L261" t="e">
            <v>#N/A</v>
          </cell>
          <cell r="M261" t="e">
            <v>#N/A</v>
          </cell>
          <cell r="N261" t="e">
            <v>#N/A</v>
          </cell>
          <cell r="O261" t="e">
            <v>#N/A</v>
          </cell>
        </row>
        <row r="262">
          <cell r="D262">
            <v>2007</v>
          </cell>
          <cell r="G262">
            <v>0</v>
          </cell>
          <cell r="I262" t="str">
            <v>CurrFcst</v>
          </cell>
          <cell r="J262" t="str">
            <v>MARS:isfcst98</v>
          </cell>
          <cell r="K262" t="str">
            <v>MARS:bsfcst01</v>
          </cell>
          <cell r="L262" t="str">
            <v>MARS:bsfcst01</v>
          </cell>
          <cell r="M262" t="str">
            <v>MARS:ftfcst98</v>
          </cell>
          <cell r="N262" t="str">
            <v>MARS:stfcst98</v>
          </cell>
          <cell r="O262" t="str">
            <v>MARS:alfcst98</v>
          </cell>
        </row>
        <row r="263">
          <cell r="D263">
            <v>2006</v>
          </cell>
          <cell r="G263">
            <v>0</v>
          </cell>
          <cell r="I263" t="str">
            <v>PrFcst</v>
          </cell>
          <cell r="J263" t="str">
            <v>MARS:isfcst98</v>
          </cell>
          <cell r="K263" t="str">
            <v>MARS:bsfcst01</v>
          </cell>
          <cell r="L263" t="str">
            <v>MARS:bsfcst01</v>
          </cell>
          <cell r="M263" t="str">
            <v>MARS:ftfcst98</v>
          </cell>
          <cell r="N263" t="str">
            <v>MARS:stfcst98</v>
          </cell>
          <cell r="O263" t="str">
            <v>MARS:alfcst98</v>
          </cell>
        </row>
        <row r="264">
          <cell r="D264">
            <v>2005</v>
          </cell>
          <cell r="G264">
            <v>0</v>
          </cell>
          <cell r="I264" t="str">
            <v>Momentum</v>
          </cell>
          <cell r="J264" t="str">
            <v>MARS:isfcst98</v>
          </cell>
          <cell r="K264" t="str">
            <v>MARS:bsfcst01</v>
          </cell>
          <cell r="L264" t="str">
            <v>MARS:bsfcst01</v>
          </cell>
          <cell r="M264" t="str">
            <v>MARS:ftfcst98</v>
          </cell>
          <cell r="N264" t="str">
            <v>MARS:stfcst98</v>
          </cell>
          <cell r="O264" t="str">
            <v>MARS:alfcst98</v>
          </cell>
        </row>
        <row r="265">
          <cell r="D265">
            <v>2004</v>
          </cell>
          <cell r="I265" t="str">
            <v>Tracks</v>
          </cell>
          <cell r="J265" t="str">
            <v>MARS:isfcst98</v>
          </cell>
          <cell r="K265" t="str">
            <v>MARS:bsfcst01</v>
          </cell>
          <cell r="L265" t="str">
            <v>MARS:bsfcst01</v>
          </cell>
          <cell r="M265" t="str">
            <v>MARS:ftfcst98</v>
          </cell>
          <cell r="N265" t="str">
            <v>MARS:stfcst98</v>
          </cell>
          <cell r="O265" t="str">
            <v>MARS:alfcst98</v>
          </cell>
        </row>
        <row r="266">
          <cell r="D266">
            <v>2003</v>
          </cell>
          <cell r="I266" t="str">
            <v>Base Case</v>
          </cell>
          <cell r="J266" t="str">
            <v>MARS:isfcst98</v>
          </cell>
          <cell r="K266" t="str">
            <v>MARS:bsfcst01</v>
          </cell>
          <cell r="L266" t="str">
            <v>MARS:bsfcst01</v>
          </cell>
          <cell r="M266" t="str">
            <v>MARS:ftfcst98</v>
          </cell>
          <cell r="N266" t="str">
            <v>MARS:stfcst98</v>
          </cell>
          <cell r="O266" t="str">
            <v>MARS:alfcst98</v>
          </cell>
        </row>
        <row r="267">
          <cell r="D267">
            <v>2002</v>
          </cell>
          <cell r="I267" t="str">
            <v>Target</v>
          </cell>
          <cell r="J267" t="str">
            <v>MARS:isfcst98</v>
          </cell>
          <cell r="K267" t="str">
            <v>MARS:bsfcst01</v>
          </cell>
          <cell r="L267" t="str">
            <v>MARS:bsfcst01</v>
          </cell>
          <cell r="M267" t="str">
            <v>MARS:ftfcst98</v>
          </cell>
          <cell r="N267" t="str">
            <v>MARS:stfcst98</v>
          </cell>
          <cell r="O267" t="str">
            <v>MARS:alfcst98</v>
          </cell>
        </row>
        <row r="268">
          <cell r="D268">
            <v>2001</v>
          </cell>
          <cell r="I268" t="str">
            <v>Prior 2</v>
          </cell>
          <cell r="J268" t="str">
            <v>MARS:isfcst98</v>
          </cell>
          <cell r="K268" t="str">
            <v>MARS:bsfcst01</v>
          </cell>
          <cell r="L268" t="str">
            <v>MARS:bsfcst01</v>
          </cell>
          <cell r="M268" t="str">
            <v>MARS:ftfcst98</v>
          </cell>
          <cell r="N268" t="str">
            <v>MARS:stfcst98</v>
          </cell>
          <cell r="O268" t="str">
            <v>MARS:alfcst98</v>
          </cell>
        </row>
        <row r="269">
          <cell r="I269" t="str">
            <v>Strat</v>
          </cell>
          <cell r="J269" t="str">
            <v>MARS:isfcst98</v>
          </cell>
          <cell r="K269" t="str">
            <v>MARS:bsfcst01</v>
          </cell>
          <cell r="L269" t="str">
            <v>MARS:bsfcst01</v>
          </cell>
          <cell r="M269" t="str">
            <v>MARS:ftfcst98</v>
          </cell>
          <cell r="N269" t="str">
            <v>MARS:stfcst98</v>
          </cell>
          <cell r="O269" t="str">
            <v>MARS:alfcst98</v>
          </cell>
        </row>
        <row r="270">
          <cell r="I270" t="str">
            <v>Init</v>
          </cell>
          <cell r="J270" t="str">
            <v>MARS:isfcst98</v>
          </cell>
          <cell r="K270" t="str">
            <v>MARS:bsfcst01</v>
          </cell>
          <cell r="L270" t="str">
            <v>MARS:bsfcst01</v>
          </cell>
          <cell r="M270" t="str">
            <v>MARS:ftfcst98</v>
          </cell>
          <cell r="N270" t="str">
            <v>MARS:stfcst98</v>
          </cell>
          <cell r="O270" t="str">
            <v>MARS:alfcst98</v>
          </cell>
        </row>
        <row r="271">
          <cell r="I271" t="str">
            <v>Pass 1</v>
          </cell>
          <cell r="J271" t="e">
            <v>#N/A</v>
          </cell>
          <cell r="K271" t="e">
            <v>#N/A</v>
          </cell>
          <cell r="L271" t="e">
            <v>#N/A</v>
          </cell>
          <cell r="M271" t="e">
            <v>#N/A</v>
          </cell>
          <cell r="N271" t="e">
            <v>#N/A</v>
          </cell>
          <cell r="O271" t="e">
            <v>#N/A</v>
          </cell>
        </row>
        <row r="272">
          <cell r="I272" t="str">
            <v>Pass 2</v>
          </cell>
          <cell r="J272" t="e">
            <v>#N/A</v>
          </cell>
          <cell r="K272" t="e">
            <v>#N/A</v>
          </cell>
          <cell r="L272" t="e">
            <v>#N/A</v>
          </cell>
          <cell r="M272" t="e">
            <v>#N/A</v>
          </cell>
          <cell r="N272" t="e">
            <v>#N/A</v>
          </cell>
          <cell r="O272" t="e">
            <v>#N/A</v>
          </cell>
        </row>
        <row r="273">
          <cell r="I273" t="str">
            <v>Prior Month</v>
          </cell>
          <cell r="J273" t="str">
            <v>MARS:is-Noneb</v>
          </cell>
          <cell r="K273" t="str">
            <v>MARS:bs-Noneb</v>
          </cell>
          <cell r="L273" t="str">
            <v>MARS:bs-Noneb</v>
          </cell>
          <cell r="M273" t="str">
            <v>MARS:ftp-Noneb</v>
          </cell>
          <cell r="N273" t="str">
            <v>MARS:stat-Noneb</v>
          </cell>
          <cell r="O273" t="str">
            <v>MARS:isall-None</v>
          </cell>
        </row>
        <row r="274">
          <cell r="I274" t="str">
            <v>None</v>
          </cell>
        </row>
        <row r="285">
          <cell r="AC285">
            <v>365</v>
          </cell>
          <cell r="AD285">
            <v>365</v>
          </cell>
        </row>
        <row r="311">
          <cell r="AC311">
            <v>365</v>
          </cell>
          <cell r="AD311">
            <v>365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s>
    <sheetDataSet>
      <sheetData sheetId="0" refreshError="1">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nnual"/>
      <sheetName val="Mth"/>
      <sheetName val="Sales"/>
      <sheetName val="Amort"/>
      <sheetName val="Sum-Avg OS"/>
      <sheetName val="Sum"/>
      <sheetName val="BRAD_EQUITY_LOANS"/>
      <sheetName val="ROA Summary"/>
      <sheetName val="ROA Summary (2)"/>
      <sheetName val="Splas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PRODUCT NAME</v>
          </cell>
          <cell r="B21" t="str">
            <v>APPID</v>
          </cell>
          <cell r="C21" t="str">
            <v>INIT DATE</v>
          </cell>
          <cell r="D21" t="str">
            <v>stat</v>
          </cell>
          <cell r="E21" t="str">
            <v>AMT REQ</v>
          </cell>
          <cell r="F21" t="str">
            <v>BR NAME</v>
          </cell>
          <cell r="G21" t="str">
            <v>BRNDLR</v>
          </cell>
          <cell r="H21" t="str">
            <v>Approve Rate</v>
          </cell>
          <cell r="I21" t="str">
            <v>STATE</v>
          </cell>
        </row>
        <row r="22">
          <cell r="A22" t="str">
            <v>EQUITY LOAN</v>
          </cell>
          <cell r="B22" t="str">
            <v>817231</v>
          </cell>
          <cell r="C22">
            <v>36049</v>
          </cell>
          <cell r="D22" t="str">
            <v>APPR</v>
          </cell>
          <cell r="E22">
            <v>120000</v>
          </cell>
          <cell r="F22" t="str">
            <v>JACKSONVILLE FORT CAROLINE</v>
          </cell>
          <cell r="G22" t="str">
            <v>65066566</v>
          </cell>
          <cell r="H22">
            <v>7.99</v>
          </cell>
          <cell r="I22" t="str">
            <v>FL</v>
          </cell>
        </row>
        <row r="23">
          <cell r="A23" t="str">
            <v>EQUITY LOAN</v>
          </cell>
          <cell r="B23" t="str">
            <v>808501</v>
          </cell>
          <cell r="C23">
            <v>36031</v>
          </cell>
          <cell r="D23" t="str">
            <v>APPR</v>
          </cell>
          <cell r="E23">
            <v>100000</v>
          </cell>
          <cell r="F23" t="str">
            <v>BIRMINGHAM WARRIOR</v>
          </cell>
          <cell r="G23" t="str">
            <v>77011001</v>
          </cell>
          <cell r="H23">
            <v>7.99</v>
          </cell>
          <cell r="I23" t="str">
            <v>AL</v>
          </cell>
        </row>
        <row r="24">
          <cell r="A24" t="str">
            <v>EQUITY LOAN</v>
          </cell>
          <cell r="B24" t="str">
            <v>817159</v>
          </cell>
          <cell r="C24">
            <v>36049</v>
          </cell>
          <cell r="D24" t="str">
            <v>APPR</v>
          </cell>
          <cell r="E24">
            <v>100000</v>
          </cell>
          <cell r="F24" t="str">
            <v>ATHENS MAIN</v>
          </cell>
          <cell r="G24" t="str">
            <v>77032002</v>
          </cell>
          <cell r="H24">
            <v>9.24</v>
          </cell>
          <cell r="I24" t="str">
            <v>AL</v>
          </cell>
        </row>
        <row r="25">
          <cell r="A25" t="str">
            <v>EQUITY LOAN</v>
          </cell>
          <cell r="B25" t="str">
            <v>809512</v>
          </cell>
          <cell r="C25">
            <v>36032</v>
          </cell>
          <cell r="D25" t="str">
            <v>APPR</v>
          </cell>
          <cell r="E25">
            <v>95000</v>
          </cell>
          <cell r="F25" t="str">
            <v>TELEPHONE BANKING - ALABAMA</v>
          </cell>
          <cell r="G25" t="str">
            <v>93001</v>
          </cell>
          <cell r="H25">
            <v>7.99</v>
          </cell>
          <cell r="I25" t="str">
            <v>AL</v>
          </cell>
        </row>
        <row r="26">
          <cell r="A26" t="str">
            <v>EQUITY LOAN</v>
          </cell>
          <cell r="B26" t="str">
            <v>800580</v>
          </cell>
          <cell r="C26">
            <v>36013</v>
          </cell>
          <cell r="D26" t="str">
            <v>APPR</v>
          </cell>
          <cell r="E26">
            <v>88000</v>
          </cell>
          <cell r="F26" t="str">
            <v>MOBILE CHICKASAW</v>
          </cell>
          <cell r="G26" t="str">
            <v>77020370</v>
          </cell>
          <cell r="H26">
            <v>7.99</v>
          </cell>
          <cell r="I26" t="str">
            <v>AL</v>
          </cell>
        </row>
        <row r="27">
          <cell r="A27" t="str">
            <v>EQUITY LOAN</v>
          </cell>
          <cell r="B27" t="str">
            <v>803657</v>
          </cell>
          <cell r="C27">
            <v>36019</v>
          </cell>
          <cell r="D27" t="str">
            <v>APPR</v>
          </cell>
          <cell r="E27">
            <v>80000</v>
          </cell>
          <cell r="F27" t="str">
            <v>TELEPHONE BANKING - ALABAMA</v>
          </cell>
          <cell r="G27" t="str">
            <v>93001</v>
          </cell>
          <cell r="H27">
            <v>7.99</v>
          </cell>
          <cell r="I27" t="str">
            <v>AL</v>
          </cell>
        </row>
        <row r="28">
          <cell r="A28" t="str">
            <v>EQUITY LOAN</v>
          </cell>
          <cell r="B28" t="str">
            <v>808526</v>
          </cell>
          <cell r="C28">
            <v>36031</v>
          </cell>
          <cell r="D28" t="str">
            <v>APPR</v>
          </cell>
          <cell r="E28">
            <v>80000</v>
          </cell>
          <cell r="F28" t="str">
            <v>MOBILE EIGHT MILE</v>
          </cell>
          <cell r="G28" t="str">
            <v>77020670</v>
          </cell>
          <cell r="H28">
            <v>7.99</v>
          </cell>
          <cell r="I28" t="str">
            <v>AL</v>
          </cell>
        </row>
        <row r="29">
          <cell r="A29" t="str">
            <v>EQUITY LOAN</v>
          </cell>
          <cell r="B29" t="str">
            <v>817177</v>
          </cell>
          <cell r="C29">
            <v>36049</v>
          </cell>
          <cell r="D29" t="str">
            <v>APPR</v>
          </cell>
          <cell r="E29">
            <v>75000</v>
          </cell>
          <cell r="F29" t="str">
            <v>MUSCLE SHOALS</v>
          </cell>
          <cell r="G29" t="str">
            <v>77036302</v>
          </cell>
          <cell r="H29">
            <v>8.99</v>
          </cell>
          <cell r="I29" t="str">
            <v>AL</v>
          </cell>
        </row>
        <row r="30">
          <cell r="A30" t="str">
            <v>EQUITY LOAN</v>
          </cell>
          <cell r="B30" t="str">
            <v>800642</v>
          </cell>
          <cell r="C30">
            <v>36013</v>
          </cell>
          <cell r="D30" t="str">
            <v>APPR</v>
          </cell>
          <cell r="E30">
            <v>72000</v>
          </cell>
          <cell r="F30" t="str">
            <v>JACKSONVILLE PONTE VEDRA</v>
          </cell>
          <cell r="G30" t="str">
            <v>65062065</v>
          </cell>
          <cell r="H30">
            <v>7.99</v>
          </cell>
          <cell r="I30" t="str">
            <v>FL</v>
          </cell>
        </row>
        <row r="31">
          <cell r="A31" t="str">
            <v>EQUITY LOAN</v>
          </cell>
          <cell r="B31" t="str">
            <v>798684</v>
          </cell>
          <cell r="C31">
            <v>36010</v>
          </cell>
          <cell r="D31" t="str">
            <v>APPR</v>
          </cell>
          <cell r="E31">
            <v>71000</v>
          </cell>
          <cell r="F31" t="str">
            <v>HUNTSVILLE GOVERNOR'S DRIVE</v>
          </cell>
          <cell r="G31" t="str">
            <v>77032302</v>
          </cell>
          <cell r="H31">
            <v>7.99</v>
          </cell>
          <cell r="I31" t="str">
            <v>AL</v>
          </cell>
        </row>
        <row r="32">
          <cell r="A32" t="str">
            <v>EQUITY LOAN</v>
          </cell>
          <cell r="B32" t="str">
            <v>820384</v>
          </cell>
          <cell r="C32">
            <v>36056</v>
          </cell>
          <cell r="D32" t="str">
            <v>APPR</v>
          </cell>
          <cell r="E32">
            <v>70000</v>
          </cell>
          <cell r="F32" t="str">
            <v>JACKSONVILLE BEACH</v>
          </cell>
          <cell r="G32" t="str">
            <v>65067166</v>
          </cell>
          <cell r="H32">
            <v>7.99</v>
          </cell>
          <cell r="I32" t="str">
            <v>FL</v>
          </cell>
        </row>
        <row r="33">
          <cell r="A33" t="str">
            <v>EQUITY LOAN</v>
          </cell>
          <cell r="B33" t="str">
            <v>807085</v>
          </cell>
          <cell r="C33">
            <v>36027</v>
          </cell>
          <cell r="D33" t="str">
            <v>APPR</v>
          </cell>
          <cell r="E33">
            <v>67000</v>
          </cell>
          <cell r="F33" t="str">
            <v>BALDWIN COUNTY DAPHNE</v>
          </cell>
          <cell r="G33" t="str">
            <v>77026175</v>
          </cell>
          <cell r="H33">
            <v>7.99</v>
          </cell>
          <cell r="I33" t="str">
            <v>AL</v>
          </cell>
        </row>
        <row r="34">
          <cell r="A34" t="str">
            <v>EQUITY LOAN</v>
          </cell>
          <cell r="B34" t="str">
            <v>794876</v>
          </cell>
          <cell r="C34">
            <v>36000</v>
          </cell>
          <cell r="D34" t="str">
            <v>APPR</v>
          </cell>
          <cell r="E34">
            <v>65000</v>
          </cell>
          <cell r="F34" t="str">
            <v>MOBILE CHICKASAW</v>
          </cell>
          <cell r="G34" t="str">
            <v>77020370</v>
          </cell>
          <cell r="H34">
            <v>7.99</v>
          </cell>
          <cell r="I34" t="str">
            <v>AL</v>
          </cell>
        </row>
        <row r="35">
          <cell r="A35" t="str">
            <v>EQUITY LOAN</v>
          </cell>
          <cell r="B35" t="str">
            <v>811758</v>
          </cell>
          <cell r="C35">
            <v>36038</v>
          </cell>
          <cell r="D35" t="str">
            <v>APPR</v>
          </cell>
          <cell r="E35">
            <v>65000</v>
          </cell>
          <cell r="F35" t="str">
            <v>WALKER COUNTY JASPER MAIN</v>
          </cell>
          <cell r="G35" t="str">
            <v>77025131</v>
          </cell>
          <cell r="H35">
            <v>7.99</v>
          </cell>
          <cell r="I35" t="str">
            <v>AL</v>
          </cell>
        </row>
        <row r="36">
          <cell r="A36" t="str">
            <v>EQUITY LOAN</v>
          </cell>
          <cell r="B36" t="str">
            <v>817236</v>
          </cell>
          <cell r="C36">
            <v>36049</v>
          </cell>
          <cell r="D36" t="str">
            <v>APPR</v>
          </cell>
          <cell r="E36">
            <v>62000</v>
          </cell>
          <cell r="F36" t="str">
            <v>JACKSONVILLE FORT CAROLINE</v>
          </cell>
          <cell r="G36" t="str">
            <v>65066566</v>
          </cell>
          <cell r="H36">
            <v>7.99</v>
          </cell>
          <cell r="I36" t="str">
            <v>FL</v>
          </cell>
        </row>
        <row r="37">
          <cell r="A37" t="str">
            <v>EQUITY LOAN</v>
          </cell>
          <cell r="B37" t="str">
            <v>799471</v>
          </cell>
          <cell r="C37">
            <v>36011</v>
          </cell>
          <cell r="D37" t="str">
            <v>APPR</v>
          </cell>
          <cell r="E37">
            <v>60000</v>
          </cell>
          <cell r="F37" t="str">
            <v>HUNTSVILLE GOVERNOR'S DRIVE</v>
          </cell>
          <cell r="G37" t="str">
            <v>77032302</v>
          </cell>
          <cell r="H37">
            <v>7.99</v>
          </cell>
          <cell r="I37" t="str">
            <v>AL</v>
          </cell>
        </row>
        <row r="38">
          <cell r="A38" t="str">
            <v>EQUITY LOAN</v>
          </cell>
          <cell r="B38" t="str">
            <v>799951</v>
          </cell>
          <cell r="C38">
            <v>36012</v>
          </cell>
          <cell r="D38" t="str">
            <v>APPR</v>
          </cell>
          <cell r="E38">
            <v>60000</v>
          </cell>
          <cell r="F38" t="str">
            <v>TELEPHONE BANKING - ALABAMA</v>
          </cell>
          <cell r="G38" t="str">
            <v>93001</v>
          </cell>
          <cell r="H38">
            <v>7.99</v>
          </cell>
          <cell r="I38" t="str">
            <v>AL</v>
          </cell>
        </row>
        <row r="39">
          <cell r="A39" t="str">
            <v>EQUITY LOAN</v>
          </cell>
          <cell r="B39" t="str">
            <v>800989</v>
          </cell>
          <cell r="C39">
            <v>36014</v>
          </cell>
          <cell r="D39" t="str">
            <v>APPR</v>
          </cell>
          <cell r="E39">
            <v>60000</v>
          </cell>
          <cell r="F39" t="str">
            <v>BIRMINGHAM MARKETPLACE</v>
          </cell>
          <cell r="G39" t="str">
            <v>77012701</v>
          </cell>
          <cell r="H39">
            <v>7.99</v>
          </cell>
          <cell r="I39" t="str">
            <v>AL</v>
          </cell>
        </row>
        <row r="40">
          <cell r="A40" t="str">
            <v>EQUITY LOAN</v>
          </cell>
          <cell r="B40" t="str">
            <v>802851</v>
          </cell>
          <cell r="C40">
            <v>36018</v>
          </cell>
          <cell r="D40" t="str">
            <v>APPR</v>
          </cell>
          <cell r="E40">
            <v>60000</v>
          </cell>
          <cell r="F40" t="str">
            <v>TELEPHONE BANKING - ALABAMA</v>
          </cell>
          <cell r="G40" t="str">
            <v>93001</v>
          </cell>
          <cell r="H40">
            <v>7.99</v>
          </cell>
          <cell r="I40" t="str">
            <v>AL</v>
          </cell>
        </row>
        <row r="41">
          <cell r="A41" t="str">
            <v>EQUITY LOAN</v>
          </cell>
          <cell r="B41" t="str">
            <v>803138</v>
          </cell>
          <cell r="C41">
            <v>36019</v>
          </cell>
          <cell r="D41" t="str">
            <v>APPR</v>
          </cell>
          <cell r="E41">
            <v>60000</v>
          </cell>
          <cell r="F41" t="str">
            <v>MONTGOMERY EASTDALE</v>
          </cell>
          <cell r="G41" t="str">
            <v>77040730</v>
          </cell>
          <cell r="H41">
            <v>7.99</v>
          </cell>
          <cell r="I41" t="str">
            <v>AL</v>
          </cell>
        </row>
        <row r="42">
          <cell r="A42" t="str">
            <v>EQUITY LOAN</v>
          </cell>
          <cell r="B42" t="str">
            <v>810802</v>
          </cell>
          <cell r="C42">
            <v>36034</v>
          </cell>
          <cell r="D42" t="str">
            <v>APPR</v>
          </cell>
          <cell r="E42">
            <v>60000</v>
          </cell>
          <cell r="F42" t="str">
            <v>TELEPHONE BANKING - ALABAMA</v>
          </cell>
          <cell r="G42" t="str">
            <v>93001</v>
          </cell>
          <cell r="H42">
            <v>7.99</v>
          </cell>
          <cell r="I42" t="str">
            <v>AL</v>
          </cell>
        </row>
        <row r="43">
          <cell r="A43" t="str">
            <v>EQUITY LOAN</v>
          </cell>
          <cell r="B43" t="str">
            <v>817488</v>
          </cell>
          <cell r="C43">
            <v>36049</v>
          </cell>
          <cell r="D43" t="str">
            <v>APPR</v>
          </cell>
          <cell r="E43">
            <v>60000</v>
          </cell>
          <cell r="F43" t="str">
            <v>TELEPHONE BANKING - ALABAMA</v>
          </cell>
          <cell r="G43" t="str">
            <v>93001</v>
          </cell>
          <cell r="H43">
            <v>7.99</v>
          </cell>
          <cell r="I43" t="str">
            <v>AL</v>
          </cell>
        </row>
        <row r="44">
          <cell r="A44" t="str">
            <v>EQUITY LOAN</v>
          </cell>
          <cell r="B44" t="str">
            <v>818131</v>
          </cell>
          <cell r="C44">
            <v>36052</v>
          </cell>
          <cell r="D44" t="str">
            <v>APPR</v>
          </cell>
          <cell r="E44">
            <v>60000</v>
          </cell>
          <cell r="F44" t="str">
            <v>FORT WALTON RACETRACK</v>
          </cell>
          <cell r="G44" t="str">
            <v>65065265</v>
          </cell>
          <cell r="H44">
            <v>7.99</v>
          </cell>
          <cell r="I44" t="str">
            <v>FL</v>
          </cell>
        </row>
        <row r="45">
          <cell r="A45" t="str">
            <v>EQUITY LOAN</v>
          </cell>
          <cell r="B45" t="str">
            <v>814628</v>
          </cell>
          <cell r="C45">
            <v>36042</v>
          </cell>
          <cell r="D45" t="str">
            <v>APPR</v>
          </cell>
          <cell r="E45">
            <v>57000</v>
          </cell>
          <cell r="F45" t="str">
            <v>HUNTSVILLE GOVERNOR'S DRIVE</v>
          </cell>
          <cell r="G45" t="str">
            <v>77032302</v>
          </cell>
          <cell r="H45">
            <v>7.99</v>
          </cell>
          <cell r="I45" t="str">
            <v>AL</v>
          </cell>
        </row>
        <row r="46">
          <cell r="A46" t="str">
            <v>EQUITY LOAN</v>
          </cell>
          <cell r="B46" t="str">
            <v>796878</v>
          </cell>
          <cell r="C46">
            <v>36005</v>
          </cell>
          <cell r="D46" t="str">
            <v>APPR</v>
          </cell>
          <cell r="E46">
            <v>55000</v>
          </cell>
          <cell r="F46" t="str">
            <v>J'VILLE CENTER/LAURA STREET</v>
          </cell>
          <cell r="G46" t="str">
            <v>65066866</v>
          </cell>
          <cell r="H46">
            <v>7.99</v>
          </cell>
          <cell r="I46" t="str">
            <v>FL</v>
          </cell>
        </row>
        <row r="47">
          <cell r="A47" t="str">
            <v>EQUITY LOAN</v>
          </cell>
          <cell r="B47" t="str">
            <v>820118</v>
          </cell>
          <cell r="C47">
            <v>36056</v>
          </cell>
          <cell r="D47" t="str">
            <v>APPR</v>
          </cell>
          <cell r="E47">
            <v>55000</v>
          </cell>
          <cell r="F47" t="str">
            <v>JACKSONVILLE PONTE VEDRA</v>
          </cell>
          <cell r="G47" t="str">
            <v>65062065</v>
          </cell>
          <cell r="H47">
            <v>7.99</v>
          </cell>
          <cell r="I47" t="str">
            <v>FL</v>
          </cell>
        </row>
        <row r="48">
          <cell r="A48" t="str">
            <v>EQUITY LOAN</v>
          </cell>
          <cell r="B48" t="str">
            <v>798669</v>
          </cell>
          <cell r="C48">
            <v>36010</v>
          </cell>
          <cell r="D48" t="str">
            <v>APPR</v>
          </cell>
          <cell r="E48">
            <v>51895</v>
          </cell>
          <cell r="F48" t="str">
            <v>MOBILE COTTAGE HILL</v>
          </cell>
          <cell r="G48" t="str">
            <v>77021870</v>
          </cell>
          <cell r="H48">
            <v>7.99</v>
          </cell>
          <cell r="I48" t="str">
            <v>AL</v>
          </cell>
        </row>
        <row r="49">
          <cell r="A49" t="str">
            <v>EQUITY LOAN</v>
          </cell>
          <cell r="B49" t="str">
            <v>816970</v>
          </cell>
          <cell r="C49">
            <v>36048</v>
          </cell>
          <cell r="D49" t="str">
            <v>APPR</v>
          </cell>
          <cell r="E49">
            <v>51000</v>
          </cell>
          <cell r="F49" t="str">
            <v>MOBILE BEL AIR</v>
          </cell>
          <cell r="G49" t="str">
            <v>77020570</v>
          </cell>
          <cell r="H49">
            <v>7.99</v>
          </cell>
          <cell r="I49" t="str">
            <v>AL</v>
          </cell>
        </row>
        <row r="50">
          <cell r="A50" t="str">
            <v>EQUITY LOAN</v>
          </cell>
          <cell r="B50" t="str">
            <v>794705</v>
          </cell>
          <cell r="C50">
            <v>36000</v>
          </cell>
          <cell r="D50" t="str">
            <v>APPR</v>
          </cell>
          <cell r="E50">
            <v>50000</v>
          </cell>
          <cell r="F50" t="str">
            <v>JACKSONVILLE INDEPENDENT</v>
          </cell>
          <cell r="G50" t="str">
            <v>65064166</v>
          </cell>
          <cell r="H50">
            <v>8.24</v>
          </cell>
          <cell r="I50" t="str">
            <v>FL</v>
          </cell>
        </row>
        <row r="51">
          <cell r="A51" t="str">
            <v>EQUITY LOAN</v>
          </cell>
          <cell r="B51" t="str">
            <v>796951</v>
          </cell>
          <cell r="C51">
            <v>36005</v>
          </cell>
          <cell r="D51" t="str">
            <v>APPR</v>
          </cell>
          <cell r="E51">
            <v>50000</v>
          </cell>
          <cell r="F51" t="str">
            <v>JACKSONVILLE ORANGE PARK</v>
          </cell>
          <cell r="G51" t="str">
            <v>65062665</v>
          </cell>
          <cell r="H51">
            <v>7.99</v>
          </cell>
          <cell r="I51" t="str">
            <v>FL</v>
          </cell>
        </row>
        <row r="52">
          <cell r="A52" t="str">
            <v>EQUITY LOAN</v>
          </cell>
          <cell r="B52" t="str">
            <v>797669</v>
          </cell>
          <cell r="C52">
            <v>36006</v>
          </cell>
          <cell r="D52" t="str">
            <v>APPR</v>
          </cell>
          <cell r="E52">
            <v>50000</v>
          </cell>
          <cell r="F52" t="str">
            <v>TELEPHONE BANKING - FLORIDA</v>
          </cell>
          <cell r="G52" t="str">
            <v>93002</v>
          </cell>
          <cell r="H52">
            <v>7.99</v>
          </cell>
          <cell r="I52" t="str">
            <v>FL</v>
          </cell>
        </row>
        <row r="53">
          <cell r="A53" t="str">
            <v>EQUITY LOAN</v>
          </cell>
          <cell r="B53" t="str">
            <v>801859</v>
          </cell>
          <cell r="C53">
            <v>36017</v>
          </cell>
          <cell r="D53" t="str">
            <v>APPR</v>
          </cell>
          <cell r="E53">
            <v>50000</v>
          </cell>
          <cell r="F53" t="str">
            <v>JACKSONVILLE ARGYLE</v>
          </cell>
          <cell r="G53" t="str">
            <v>65065766</v>
          </cell>
          <cell r="H53">
            <v>7.99</v>
          </cell>
          <cell r="I53" t="str">
            <v>FL</v>
          </cell>
        </row>
        <row r="54">
          <cell r="A54" t="str">
            <v>EQUITY LOAN</v>
          </cell>
          <cell r="B54" t="str">
            <v>803603</v>
          </cell>
          <cell r="C54">
            <v>36019</v>
          </cell>
          <cell r="D54" t="str">
            <v>APPR</v>
          </cell>
          <cell r="E54">
            <v>50000</v>
          </cell>
          <cell r="F54" t="str">
            <v>MOBILE REGENCY</v>
          </cell>
          <cell r="G54" t="str">
            <v>77020170</v>
          </cell>
          <cell r="H54">
            <v>7.99</v>
          </cell>
          <cell r="I54" t="str">
            <v>AL</v>
          </cell>
        </row>
        <row r="55">
          <cell r="A55" t="str">
            <v>EQUITY LOAN</v>
          </cell>
          <cell r="B55" t="str">
            <v>806471</v>
          </cell>
          <cell r="C55">
            <v>36026</v>
          </cell>
          <cell r="D55" t="str">
            <v>APPR</v>
          </cell>
          <cell r="E55">
            <v>50000</v>
          </cell>
          <cell r="F55" t="str">
            <v>HUNTSVILLE NORTHWEST</v>
          </cell>
          <cell r="G55" t="str">
            <v>77032402</v>
          </cell>
          <cell r="H55">
            <v>7.99</v>
          </cell>
          <cell r="I55" t="str">
            <v>AL</v>
          </cell>
        </row>
        <row r="56">
          <cell r="A56" t="str">
            <v>EQUITY LOAN</v>
          </cell>
          <cell r="B56" t="str">
            <v>810374</v>
          </cell>
          <cell r="C56">
            <v>36034</v>
          </cell>
          <cell r="D56" t="str">
            <v>APPR</v>
          </cell>
          <cell r="E56">
            <v>50000</v>
          </cell>
          <cell r="F56" t="str">
            <v>HUNTSVILLE NORTHWEST</v>
          </cell>
          <cell r="G56" t="str">
            <v>77032402</v>
          </cell>
          <cell r="H56">
            <v>7.99</v>
          </cell>
          <cell r="I56" t="str">
            <v>AL</v>
          </cell>
        </row>
        <row r="57">
          <cell r="A57" t="str">
            <v>EQUITY LOAN</v>
          </cell>
          <cell r="B57" t="str">
            <v>812973</v>
          </cell>
          <cell r="C57">
            <v>36039</v>
          </cell>
          <cell r="D57" t="str">
            <v>APPR</v>
          </cell>
          <cell r="E57">
            <v>50000</v>
          </cell>
          <cell r="F57" t="str">
            <v>MOBILE COTTAGE HILL</v>
          </cell>
          <cell r="G57" t="str">
            <v>77021870</v>
          </cell>
          <cell r="H57">
            <v>7.99</v>
          </cell>
          <cell r="I57" t="str">
            <v>AL</v>
          </cell>
        </row>
        <row r="58">
          <cell r="A58" t="str">
            <v>EQUITY LOAN</v>
          </cell>
          <cell r="B58" t="str">
            <v>813101</v>
          </cell>
          <cell r="C58">
            <v>36039</v>
          </cell>
          <cell r="D58" t="str">
            <v>APPR</v>
          </cell>
          <cell r="E58">
            <v>50000</v>
          </cell>
          <cell r="F58" t="str">
            <v>BIRMINGHAM HOOVER</v>
          </cell>
          <cell r="G58" t="str">
            <v>77011501</v>
          </cell>
          <cell r="H58">
            <v>8.5</v>
          </cell>
          <cell r="I58" t="str">
            <v>AL</v>
          </cell>
        </row>
        <row r="59">
          <cell r="A59" t="str">
            <v>EQUITY LOAN</v>
          </cell>
          <cell r="B59" t="str">
            <v>814024</v>
          </cell>
          <cell r="C59">
            <v>36041</v>
          </cell>
          <cell r="D59" t="str">
            <v>APPR</v>
          </cell>
          <cell r="E59">
            <v>50000</v>
          </cell>
          <cell r="F59" t="str">
            <v>TELEPHONE BANKING - ALABAMA</v>
          </cell>
          <cell r="G59" t="str">
            <v>93001</v>
          </cell>
          <cell r="H59">
            <v>7.99</v>
          </cell>
          <cell r="I59" t="str">
            <v>AL</v>
          </cell>
        </row>
        <row r="60">
          <cell r="A60" t="str">
            <v>EQUITY LOAN</v>
          </cell>
          <cell r="B60" t="str">
            <v>816055</v>
          </cell>
          <cell r="C60">
            <v>36047</v>
          </cell>
          <cell r="D60" t="str">
            <v>APPR</v>
          </cell>
          <cell r="E60">
            <v>50000</v>
          </cell>
          <cell r="F60" t="str">
            <v>JACKSONVILLE ARGYLE</v>
          </cell>
          <cell r="G60" t="str">
            <v>65065766</v>
          </cell>
          <cell r="H60">
            <v>7.99</v>
          </cell>
          <cell r="I60" t="str">
            <v>FL</v>
          </cell>
        </row>
        <row r="61">
          <cell r="A61" t="str">
            <v>EQUITY LOAN</v>
          </cell>
          <cell r="B61" t="str">
            <v>816964</v>
          </cell>
          <cell r="C61">
            <v>36048</v>
          </cell>
          <cell r="D61" t="str">
            <v>APPR</v>
          </cell>
          <cell r="E61">
            <v>50000</v>
          </cell>
          <cell r="F61" t="str">
            <v>BIRMINGHAM MIDFAIR</v>
          </cell>
          <cell r="G61" t="str">
            <v>77010301</v>
          </cell>
          <cell r="H61">
            <v>7.99</v>
          </cell>
          <cell r="I61" t="str">
            <v>AL</v>
          </cell>
        </row>
        <row r="62">
          <cell r="A62" t="str">
            <v>EQUITY LOAN</v>
          </cell>
          <cell r="B62" t="str">
            <v>817207</v>
          </cell>
          <cell r="C62">
            <v>36049</v>
          </cell>
          <cell r="D62" t="str">
            <v>APPR</v>
          </cell>
          <cell r="E62">
            <v>50000</v>
          </cell>
          <cell r="F62" t="str">
            <v>TELEPHONE BANKING - ALABAMA</v>
          </cell>
          <cell r="G62" t="str">
            <v>93001</v>
          </cell>
          <cell r="H62">
            <v>7.99</v>
          </cell>
          <cell r="I62" t="str">
            <v>AL</v>
          </cell>
        </row>
        <row r="63">
          <cell r="A63" t="str">
            <v>EQUITY LOAN</v>
          </cell>
          <cell r="B63" t="str">
            <v>819482</v>
          </cell>
          <cell r="C63">
            <v>36054</v>
          </cell>
          <cell r="D63" t="str">
            <v>APPR</v>
          </cell>
          <cell r="E63">
            <v>50000</v>
          </cell>
          <cell r="F63" t="str">
            <v>TELEPHONE BANKING - ALABAMA</v>
          </cell>
          <cell r="G63" t="str">
            <v>93001</v>
          </cell>
          <cell r="H63">
            <v>7.99</v>
          </cell>
          <cell r="I63" t="str">
            <v>AL</v>
          </cell>
        </row>
        <row r="64">
          <cell r="A64" t="str">
            <v>EQUITY LOAN</v>
          </cell>
          <cell r="B64" t="str">
            <v>820024</v>
          </cell>
          <cell r="C64">
            <v>36055</v>
          </cell>
          <cell r="D64" t="str">
            <v>APPR</v>
          </cell>
          <cell r="E64">
            <v>50000</v>
          </cell>
          <cell r="F64" t="str">
            <v>TELEPHONE BANKING - ALABAMA</v>
          </cell>
          <cell r="G64" t="str">
            <v>93001</v>
          </cell>
          <cell r="H64">
            <v>7.99</v>
          </cell>
          <cell r="I64" t="str">
            <v>AL</v>
          </cell>
        </row>
        <row r="65">
          <cell r="A65" t="str">
            <v>EQUITY LOAN</v>
          </cell>
          <cell r="B65" t="str">
            <v>796067</v>
          </cell>
          <cell r="C65">
            <v>36004</v>
          </cell>
          <cell r="D65" t="str">
            <v>APPR</v>
          </cell>
          <cell r="E65">
            <v>48000</v>
          </cell>
          <cell r="F65" t="str">
            <v>J'VILLE SPRING HILL/FOREST OAK</v>
          </cell>
          <cell r="G65" t="str">
            <v>65062165</v>
          </cell>
          <cell r="H65">
            <v>8.99</v>
          </cell>
          <cell r="I65" t="str">
            <v>FL</v>
          </cell>
        </row>
        <row r="66">
          <cell r="A66" t="str">
            <v>EQUITY LOAN</v>
          </cell>
          <cell r="B66" t="str">
            <v>819184</v>
          </cell>
          <cell r="C66">
            <v>36054</v>
          </cell>
          <cell r="D66" t="str">
            <v>APPR</v>
          </cell>
          <cell r="E66">
            <v>48000</v>
          </cell>
          <cell r="F66" t="str">
            <v>BIRMINGHAM WILDWOOD</v>
          </cell>
          <cell r="G66" t="str">
            <v>77013401</v>
          </cell>
          <cell r="H66">
            <v>7.99</v>
          </cell>
          <cell r="I66" t="str">
            <v>AL</v>
          </cell>
        </row>
        <row r="67">
          <cell r="A67" t="str">
            <v>EQUITY LOAN</v>
          </cell>
          <cell r="B67" t="str">
            <v>819964</v>
          </cell>
          <cell r="C67">
            <v>36055</v>
          </cell>
          <cell r="D67" t="str">
            <v>APPR</v>
          </cell>
          <cell r="E67">
            <v>46000</v>
          </cell>
          <cell r="F67" t="str">
            <v>MONTGOMERY NORMANDALE</v>
          </cell>
          <cell r="G67" t="str">
            <v>77040430</v>
          </cell>
          <cell r="H67">
            <v>7.99</v>
          </cell>
          <cell r="I67" t="str">
            <v>AL</v>
          </cell>
        </row>
        <row r="68">
          <cell r="A68" t="str">
            <v>EQUITY LOAN</v>
          </cell>
          <cell r="B68" t="str">
            <v>798055</v>
          </cell>
          <cell r="C68">
            <v>36007</v>
          </cell>
          <cell r="D68" t="str">
            <v>APPR</v>
          </cell>
          <cell r="E68">
            <v>45000</v>
          </cell>
          <cell r="F68" t="str">
            <v>JACKSONVILLE PONTE VEDRA</v>
          </cell>
          <cell r="G68" t="str">
            <v>65062065</v>
          </cell>
          <cell r="H68">
            <v>8.49</v>
          </cell>
          <cell r="I68" t="str">
            <v>FL</v>
          </cell>
        </row>
        <row r="69">
          <cell r="A69" t="str">
            <v>EQUITY LOAN</v>
          </cell>
          <cell r="B69" t="str">
            <v>798960</v>
          </cell>
          <cell r="C69">
            <v>36010</v>
          </cell>
          <cell r="D69" t="str">
            <v>APPR</v>
          </cell>
          <cell r="E69">
            <v>45000</v>
          </cell>
          <cell r="F69" t="str">
            <v>JACKSONVILLE NORTHSIDE</v>
          </cell>
          <cell r="G69" t="str">
            <v>65062765</v>
          </cell>
          <cell r="H69">
            <v>8.5</v>
          </cell>
          <cell r="I69" t="str">
            <v>FL</v>
          </cell>
        </row>
        <row r="70">
          <cell r="A70" t="str">
            <v>EQUITY LOAN</v>
          </cell>
          <cell r="B70" t="str">
            <v>800791</v>
          </cell>
          <cell r="C70">
            <v>36013</v>
          </cell>
          <cell r="D70" t="str">
            <v>APPR</v>
          </cell>
          <cell r="E70">
            <v>45000</v>
          </cell>
          <cell r="F70" t="str">
            <v>JACKSONVILLE PONTE VEDRA</v>
          </cell>
          <cell r="G70" t="str">
            <v>65062065</v>
          </cell>
          <cell r="H70">
            <v>7.99</v>
          </cell>
          <cell r="I70" t="str">
            <v>FL</v>
          </cell>
        </row>
        <row r="71">
          <cell r="A71" t="str">
            <v>EQUITY LOAN</v>
          </cell>
          <cell r="B71" t="str">
            <v>800884</v>
          </cell>
          <cell r="C71">
            <v>36013</v>
          </cell>
          <cell r="D71" t="str">
            <v>APPR</v>
          </cell>
          <cell r="E71">
            <v>45000</v>
          </cell>
          <cell r="F71" t="str">
            <v>MOBILE EIGHT MILE</v>
          </cell>
          <cell r="G71" t="str">
            <v>77020670</v>
          </cell>
          <cell r="H71">
            <v>7.99</v>
          </cell>
          <cell r="I71" t="str">
            <v>AL</v>
          </cell>
        </row>
        <row r="72">
          <cell r="A72" t="str">
            <v>EQUITY LOAN</v>
          </cell>
          <cell r="B72" t="str">
            <v>807003</v>
          </cell>
          <cell r="C72">
            <v>36027</v>
          </cell>
          <cell r="D72" t="str">
            <v>APPR</v>
          </cell>
          <cell r="E72">
            <v>45000</v>
          </cell>
          <cell r="F72" t="str">
            <v>MOBILE SKYLINE</v>
          </cell>
          <cell r="G72" t="str">
            <v>77021570</v>
          </cell>
          <cell r="H72">
            <v>7.99</v>
          </cell>
          <cell r="I72" t="str">
            <v>AL</v>
          </cell>
        </row>
        <row r="73">
          <cell r="A73" t="str">
            <v>EQUITY LOAN</v>
          </cell>
          <cell r="B73" t="str">
            <v>817334</v>
          </cell>
          <cell r="C73">
            <v>36049</v>
          </cell>
          <cell r="D73" t="str">
            <v>APPR</v>
          </cell>
          <cell r="E73">
            <v>45000</v>
          </cell>
          <cell r="F73" t="str">
            <v>MOBILE COTTAGE HILL</v>
          </cell>
          <cell r="G73" t="str">
            <v>77021870</v>
          </cell>
          <cell r="H73">
            <v>7.99</v>
          </cell>
          <cell r="I73" t="str">
            <v>AL</v>
          </cell>
        </row>
        <row r="74">
          <cell r="A74" t="str">
            <v>EQUITY LOAN</v>
          </cell>
          <cell r="B74" t="str">
            <v>807638</v>
          </cell>
          <cell r="C74">
            <v>36028</v>
          </cell>
          <cell r="D74" t="str">
            <v>APPR</v>
          </cell>
          <cell r="E74">
            <v>44500</v>
          </cell>
          <cell r="F74" t="str">
            <v>MOBILE GARDEN DISTRICT</v>
          </cell>
          <cell r="G74" t="str">
            <v>77021470</v>
          </cell>
          <cell r="H74">
            <v>7.99</v>
          </cell>
          <cell r="I74" t="str">
            <v>AL</v>
          </cell>
        </row>
        <row r="75">
          <cell r="A75" t="str">
            <v>EQUITY LOAN</v>
          </cell>
          <cell r="B75" t="str">
            <v>799363</v>
          </cell>
          <cell r="C75">
            <v>36011</v>
          </cell>
          <cell r="D75" t="str">
            <v>APPR</v>
          </cell>
          <cell r="E75">
            <v>42000</v>
          </cell>
          <cell r="F75" t="str">
            <v>TELEPHONE BANKING - ALABAMA</v>
          </cell>
          <cell r="G75" t="str">
            <v>93001</v>
          </cell>
          <cell r="H75">
            <v>7.99</v>
          </cell>
          <cell r="I75" t="str">
            <v>AL</v>
          </cell>
        </row>
        <row r="76">
          <cell r="A76" t="str">
            <v>EQUITY LOAN</v>
          </cell>
          <cell r="B76" t="str">
            <v>816295</v>
          </cell>
          <cell r="C76">
            <v>36047</v>
          </cell>
          <cell r="D76" t="str">
            <v>APPR</v>
          </cell>
          <cell r="E76">
            <v>42000</v>
          </cell>
          <cell r="F76" t="str">
            <v>ONEONTA MAIN</v>
          </cell>
          <cell r="G76" t="str">
            <v>77030302</v>
          </cell>
          <cell r="H76">
            <v>7.99</v>
          </cell>
          <cell r="I76" t="str">
            <v>AL</v>
          </cell>
        </row>
        <row r="77">
          <cell r="A77" t="str">
            <v>EQUITY LOAN</v>
          </cell>
          <cell r="B77" t="str">
            <v>807544</v>
          </cell>
          <cell r="C77">
            <v>36028</v>
          </cell>
          <cell r="D77" t="str">
            <v>APPR</v>
          </cell>
          <cell r="E77">
            <v>41000</v>
          </cell>
          <cell r="F77" t="str">
            <v>MOBILE EIGHT MILE</v>
          </cell>
          <cell r="G77" t="str">
            <v>77020670</v>
          </cell>
          <cell r="H77">
            <v>7.99</v>
          </cell>
          <cell r="I77" t="str">
            <v>AL</v>
          </cell>
        </row>
        <row r="78">
          <cell r="A78" t="str">
            <v>EQUITY LOAN</v>
          </cell>
          <cell r="B78" t="str">
            <v>811079</v>
          </cell>
          <cell r="C78">
            <v>36035</v>
          </cell>
          <cell r="D78" t="str">
            <v>APPR</v>
          </cell>
          <cell r="E78">
            <v>41000</v>
          </cell>
          <cell r="F78" t="str">
            <v>MOBILE EIGHT MILE</v>
          </cell>
          <cell r="G78" t="str">
            <v>77020670</v>
          </cell>
          <cell r="H78">
            <v>7.99</v>
          </cell>
          <cell r="I78" t="str">
            <v>AL</v>
          </cell>
        </row>
        <row r="79">
          <cell r="A79" t="str">
            <v>EQUITY LOAN</v>
          </cell>
          <cell r="B79" t="str">
            <v>816625</v>
          </cell>
          <cell r="C79">
            <v>36048</v>
          </cell>
          <cell r="D79" t="str">
            <v>APPR</v>
          </cell>
          <cell r="E79">
            <v>40400</v>
          </cell>
          <cell r="F79" t="str">
            <v>TELEPHONE BANKING - ALABAMA</v>
          </cell>
          <cell r="G79" t="str">
            <v>93001</v>
          </cell>
          <cell r="H79">
            <v>12</v>
          </cell>
          <cell r="I79" t="str">
            <v>AL</v>
          </cell>
        </row>
        <row r="80">
          <cell r="A80" t="str">
            <v>EQUITY LOAN</v>
          </cell>
          <cell r="B80" t="str">
            <v>794911</v>
          </cell>
          <cell r="C80">
            <v>36000</v>
          </cell>
          <cell r="D80" t="str">
            <v>APPR</v>
          </cell>
          <cell r="E80">
            <v>40000</v>
          </cell>
          <cell r="F80" t="str">
            <v>MOBILE BEL AIR</v>
          </cell>
          <cell r="G80" t="str">
            <v>77020570</v>
          </cell>
          <cell r="H80">
            <v>8.99</v>
          </cell>
          <cell r="I80" t="str">
            <v>AL</v>
          </cell>
        </row>
        <row r="81">
          <cell r="A81" t="str">
            <v>EQUITY LOAN</v>
          </cell>
          <cell r="B81" t="str">
            <v>795513</v>
          </cell>
          <cell r="C81">
            <v>36003</v>
          </cell>
          <cell r="D81" t="str">
            <v>APPR</v>
          </cell>
          <cell r="E81">
            <v>40000</v>
          </cell>
          <cell r="F81" t="str">
            <v>BIRMINGHAM MARKETPLACE</v>
          </cell>
          <cell r="G81" t="str">
            <v>77012701</v>
          </cell>
          <cell r="H81">
            <v>7.99</v>
          </cell>
          <cell r="I81" t="str">
            <v>AL</v>
          </cell>
        </row>
        <row r="82">
          <cell r="A82" t="str">
            <v>EQUITY LOAN</v>
          </cell>
          <cell r="B82" t="str">
            <v>795569</v>
          </cell>
          <cell r="C82">
            <v>36003</v>
          </cell>
          <cell r="D82" t="str">
            <v>APPR</v>
          </cell>
          <cell r="E82">
            <v>40000</v>
          </cell>
          <cell r="F82" t="str">
            <v>BIRMINGHAM MARKETPLACE</v>
          </cell>
          <cell r="G82" t="str">
            <v>77012701</v>
          </cell>
          <cell r="H82">
            <v>8.49</v>
          </cell>
          <cell r="I82" t="str">
            <v>AL</v>
          </cell>
        </row>
        <row r="83">
          <cell r="A83" t="str">
            <v>EQUITY LOAN</v>
          </cell>
          <cell r="B83" t="str">
            <v>795585</v>
          </cell>
          <cell r="C83">
            <v>36003</v>
          </cell>
          <cell r="D83" t="str">
            <v>APPR</v>
          </cell>
          <cell r="E83">
            <v>40000</v>
          </cell>
          <cell r="F83" t="str">
            <v>HUNTSVILLE GOVERNOR'S DRIVE</v>
          </cell>
          <cell r="G83" t="str">
            <v>77032302</v>
          </cell>
          <cell r="H83">
            <v>9.99</v>
          </cell>
          <cell r="I83" t="str">
            <v>AL</v>
          </cell>
        </row>
        <row r="84">
          <cell r="A84" t="str">
            <v>EQUITY LOAN</v>
          </cell>
          <cell r="B84" t="str">
            <v>797007</v>
          </cell>
          <cell r="C84">
            <v>36005</v>
          </cell>
          <cell r="D84" t="str">
            <v>APPR</v>
          </cell>
          <cell r="E84">
            <v>40000</v>
          </cell>
          <cell r="F84" t="str">
            <v>MOBILE REGENCY</v>
          </cell>
          <cell r="G84" t="str">
            <v>77020170</v>
          </cell>
          <cell r="H84">
            <v>8.99</v>
          </cell>
          <cell r="I84" t="str">
            <v>AL</v>
          </cell>
        </row>
        <row r="85">
          <cell r="A85" t="str">
            <v>EQUITY LOAN</v>
          </cell>
          <cell r="B85" t="str">
            <v>797145</v>
          </cell>
          <cell r="C85">
            <v>36005</v>
          </cell>
          <cell r="D85" t="str">
            <v>APPR</v>
          </cell>
          <cell r="E85">
            <v>40000</v>
          </cell>
          <cell r="F85" t="str">
            <v>TELEPHONE BANKING - ALABAMA</v>
          </cell>
          <cell r="G85" t="str">
            <v>93001</v>
          </cell>
          <cell r="H85">
            <v>7.99</v>
          </cell>
          <cell r="I85" t="str">
            <v>AL</v>
          </cell>
        </row>
        <row r="86">
          <cell r="A86" t="str">
            <v>EQUITY LOAN</v>
          </cell>
          <cell r="B86" t="str">
            <v>797400</v>
          </cell>
          <cell r="C86">
            <v>36006</v>
          </cell>
          <cell r="D86" t="str">
            <v>APPR</v>
          </cell>
          <cell r="E86">
            <v>40000</v>
          </cell>
          <cell r="F86" t="str">
            <v>JACKSONVILLE SOUTHSIDE</v>
          </cell>
          <cell r="G86" t="str">
            <v>65061965</v>
          </cell>
          <cell r="H86">
            <v>7.99</v>
          </cell>
          <cell r="I86" t="str">
            <v>FL</v>
          </cell>
        </row>
        <row r="87">
          <cell r="A87" t="str">
            <v>EQUITY LOAN</v>
          </cell>
          <cell r="B87" t="str">
            <v>797825</v>
          </cell>
          <cell r="C87">
            <v>36007</v>
          </cell>
          <cell r="D87" t="str">
            <v>APPR</v>
          </cell>
          <cell r="E87">
            <v>40000</v>
          </cell>
          <cell r="F87" t="str">
            <v>HUNTSVILLE GOVERNOR'S DRIVE</v>
          </cell>
          <cell r="G87" t="str">
            <v>77032302</v>
          </cell>
          <cell r="H87">
            <v>8.5</v>
          </cell>
          <cell r="I87" t="str">
            <v>AL</v>
          </cell>
        </row>
        <row r="88">
          <cell r="A88" t="str">
            <v>EQUITY LOAN</v>
          </cell>
          <cell r="B88" t="str">
            <v>799164</v>
          </cell>
          <cell r="C88">
            <v>36010</v>
          </cell>
          <cell r="D88" t="str">
            <v>APPR</v>
          </cell>
          <cell r="E88">
            <v>40000</v>
          </cell>
          <cell r="F88" t="str">
            <v>JACKSONVILLE SAN PABLO</v>
          </cell>
          <cell r="G88" t="str">
            <v>65062966</v>
          </cell>
          <cell r="H88">
            <v>7.99</v>
          </cell>
          <cell r="I88" t="str">
            <v>FL</v>
          </cell>
        </row>
        <row r="89">
          <cell r="A89" t="str">
            <v>EQUITY LOAN</v>
          </cell>
          <cell r="B89" t="str">
            <v>799884</v>
          </cell>
          <cell r="C89">
            <v>36011</v>
          </cell>
          <cell r="D89" t="str">
            <v>APPR</v>
          </cell>
          <cell r="E89">
            <v>40000</v>
          </cell>
          <cell r="F89" t="str">
            <v>JACKSONVILLE INDEPENDENT</v>
          </cell>
          <cell r="G89" t="str">
            <v>65064166</v>
          </cell>
          <cell r="H89">
            <v>8.5</v>
          </cell>
          <cell r="I89" t="str">
            <v>FL</v>
          </cell>
        </row>
        <row r="90">
          <cell r="A90" t="str">
            <v>EQUITY LOAN</v>
          </cell>
          <cell r="B90" t="str">
            <v>800505</v>
          </cell>
          <cell r="C90">
            <v>36013</v>
          </cell>
          <cell r="D90" t="str">
            <v>APPR</v>
          </cell>
          <cell r="E90">
            <v>40000</v>
          </cell>
          <cell r="F90" t="str">
            <v>JACKSONVILLE ARGYLE</v>
          </cell>
          <cell r="G90" t="str">
            <v>65065766</v>
          </cell>
          <cell r="H90">
            <v>7.99</v>
          </cell>
          <cell r="I90" t="str">
            <v>FL</v>
          </cell>
        </row>
        <row r="91">
          <cell r="A91" t="str">
            <v>EQUITY LOAN</v>
          </cell>
          <cell r="B91" t="str">
            <v>800849</v>
          </cell>
          <cell r="C91">
            <v>36013</v>
          </cell>
          <cell r="D91" t="str">
            <v>APPR</v>
          </cell>
          <cell r="E91">
            <v>40000</v>
          </cell>
          <cell r="F91" t="str">
            <v>TELEPHONE BANKING - ALABAMA</v>
          </cell>
          <cell r="G91" t="str">
            <v>93001</v>
          </cell>
          <cell r="H91">
            <v>7.99</v>
          </cell>
          <cell r="I91" t="str">
            <v>AL</v>
          </cell>
        </row>
        <row r="92">
          <cell r="A92" t="str">
            <v>EQUITY LOAN</v>
          </cell>
          <cell r="B92" t="str">
            <v>800896</v>
          </cell>
          <cell r="C92">
            <v>36013</v>
          </cell>
          <cell r="D92" t="str">
            <v>APPR</v>
          </cell>
          <cell r="E92">
            <v>40000</v>
          </cell>
          <cell r="F92" t="str">
            <v>BIRMINGHAM BROOKWOOD</v>
          </cell>
          <cell r="G92" t="str">
            <v>77010601</v>
          </cell>
          <cell r="H92">
            <v>7.99</v>
          </cell>
          <cell r="I92" t="str">
            <v>AL</v>
          </cell>
        </row>
        <row r="93">
          <cell r="A93" t="str">
            <v>EQUITY LOAN</v>
          </cell>
          <cell r="B93" t="str">
            <v>800910</v>
          </cell>
          <cell r="C93">
            <v>36013</v>
          </cell>
          <cell r="D93" t="str">
            <v>APPR</v>
          </cell>
          <cell r="E93">
            <v>40000</v>
          </cell>
          <cell r="F93" t="str">
            <v>HUNTSVILLE GOVERNOR'S DRIVE</v>
          </cell>
          <cell r="G93" t="str">
            <v>77032302</v>
          </cell>
          <cell r="H93">
            <v>7.99</v>
          </cell>
          <cell r="I93" t="str">
            <v>AL</v>
          </cell>
        </row>
        <row r="94">
          <cell r="A94" t="str">
            <v>EQUITY LOAN</v>
          </cell>
          <cell r="B94" t="str">
            <v>800959</v>
          </cell>
          <cell r="C94">
            <v>36014</v>
          </cell>
          <cell r="D94" t="str">
            <v>APPR</v>
          </cell>
          <cell r="E94">
            <v>40000</v>
          </cell>
          <cell r="F94" t="str">
            <v>TELEPHONE BANKING - WEB AL</v>
          </cell>
          <cell r="G94" t="str">
            <v>93009</v>
          </cell>
          <cell r="H94">
            <v>7.99</v>
          </cell>
          <cell r="I94" t="str">
            <v>AL</v>
          </cell>
        </row>
        <row r="95">
          <cell r="A95" t="str">
            <v>EQUITY LOAN</v>
          </cell>
          <cell r="B95" t="str">
            <v>801896</v>
          </cell>
          <cell r="C95">
            <v>36017</v>
          </cell>
          <cell r="D95" t="str">
            <v>APPR</v>
          </cell>
          <cell r="E95">
            <v>40000</v>
          </cell>
          <cell r="F95" t="str">
            <v>JACKSONVILLE ARGYLE</v>
          </cell>
          <cell r="G95" t="str">
            <v>65065766</v>
          </cell>
          <cell r="H95">
            <v>7.99</v>
          </cell>
          <cell r="I95" t="str">
            <v>FL</v>
          </cell>
        </row>
        <row r="96">
          <cell r="A96" t="str">
            <v>EQUITY LOAN</v>
          </cell>
          <cell r="B96" t="str">
            <v>804079</v>
          </cell>
          <cell r="C96">
            <v>36020</v>
          </cell>
          <cell r="D96" t="str">
            <v>APPR</v>
          </cell>
          <cell r="E96">
            <v>40000</v>
          </cell>
          <cell r="F96" t="str">
            <v>TELEPHONE BANKING - ALABAMA</v>
          </cell>
          <cell r="G96" t="str">
            <v>93001</v>
          </cell>
          <cell r="H96">
            <v>7.99</v>
          </cell>
          <cell r="I96" t="str">
            <v>AL</v>
          </cell>
        </row>
        <row r="97">
          <cell r="A97" t="str">
            <v>EQUITY LOAN</v>
          </cell>
          <cell r="B97" t="str">
            <v>805303</v>
          </cell>
          <cell r="C97">
            <v>36024</v>
          </cell>
          <cell r="D97" t="str">
            <v>APPR</v>
          </cell>
          <cell r="E97">
            <v>40000</v>
          </cell>
          <cell r="F97" t="str">
            <v>MOBILE BEL AIR</v>
          </cell>
          <cell r="G97" t="str">
            <v>77020570</v>
          </cell>
          <cell r="H97">
            <v>7.99</v>
          </cell>
          <cell r="I97" t="str">
            <v>AL</v>
          </cell>
        </row>
        <row r="98">
          <cell r="A98" t="str">
            <v>EQUITY LOAN</v>
          </cell>
          <cell r="B98" t="str">
            <v>807543</v>
          </cell>
          <cell r="C98">
            <v>36028</v>
          </cell>
          <cell r="D98" t="str">
            <v>APPR</v>
          </cell>
          <cell r="E98">
            <v>40000</v>
          </cell>
          <cell r="F98" t="str">
            <v>BIRMINGHAM MIDFAIR</v>
          </cell>
          <cell r="G98" t="str">
            <v>77010301</v>
          </cell>
          <cell r="H98">
            <v>8.5</v>
          </cell>
          <cell r="I98" t="str">
            <v>AL</v>
          </cell>
        </row>
        <row r="99">
          <cell r="A99" t="str">
            <v>EQUITY LOAN</v>
          </cell>
          <cell r="B99" t="str">
            <v>809874</v>
          </cell>
          <cell r="C99">
            <v>36033</v>
          </cell>
          <cell r="D99" t="str">
            <v>APPR</v>
          </cell>
          <cell r="E99">
            <v>40000</v>
          </cell>
          <cell r="F99" t="str">
            <v>MOBILE CHICKASAW</v>
          </cell>
          <cell r="G99" t="str">
            <v>77020370</v>
          </cell>
          <cell r="H99">
            <v>7.99</v>
          </cell>
          <cell r="I99" t="str">
            <v>AL</v>
          </cell>
        </row>
        <row r="100">
          <cell r="A100" t="str">
            <v>EQUITY LOAN</v>
          </cell>
          <cell r="B100" t="str">
            <v>810717</v>
          </cell>
          <cell r="C100">
            <v>36034</v>
          </cell>
          <cell r="D100" t="str">
            <v>APPR</v>
          </cell>
          <cell r="E100">
            <v>40000</v>
          </cell>
          <cell r="F100" t="str">
            <v>TELEPHONE BANKING - ALABAMA</v>
          </cell>
          <cell r="G100" t="str">
            <v>93001</v>
          </cell>
          <cell r="H100">
            <v>7.99</v>
          </cell>
          <cell r="I100" t="str">
            <v>AL</v>
          </cell>
        </row>
        <row r="101">
          <cell r="A101" t="str">
            <v>EQUITY LOAN</v>
          </cell>
          <cell r="B101" t="str">
            <v>812998</v>
          </cell>
          <cell r="C101">
            <v>36039</v>
          </cell>
          <cell r="D101" t="str">
            <v>APPR</v>
          </cell>
          <cell r="E101">
            <v>40000</v>
          </cell>
          <cell r="F101" t="str">
            <v>TELEPHONE BANKING - ALABAMA</v>
          </cell>
          <cell r="G101" t="str">
            <v>93001</v>
          </cell>
          <cell r="H101">
            <v>7.99</v>
          </cell>
          <cell r="I101" t="str">
            <v>AL</v>
          </cell>
        </row>
        <row r="102">
          <cell r="A102" t="str">
            <v>EQUITY LOAN</v>
          </cell>
          <cell r="B102" t="str">
            <v>814405</v>
          </cell>
          <cell r="C102">
            <v>36042</v>
          </cell>
          <cell r="D102" t="str">
            <v>APPR</v>
          </cell>
          <cell r="E102">
            <v>40000</v>
          </cell>
          <cell r="F102" t="str">
            <v>BIRMINGHAM HOOVER</v>
          </cell>
          <cell r="G102" t="str">
            <v>77011501</v>
          </cell>
          <cell r="H102">
            <v>8.5</v>
          </cell>
          <cell r="I102" t="str">
            <v>AL</v>
          </cell>
        </row>
        <row r="103">
          <cell r="A103" t="str">
            <v>EQUITY LOAN</v>
          </cell>
          <cell r="B103" t="str">
            <v>814443</v>
          </cell>
          <cell r="C103">
            <v>36042</v>
          </cell>
          <cell r="D103" t="str">
            <v>APPR</v>
          </cell>
          <cell r="E103">
            <v>40000</v>
          </cell>
          <cell r="F103" t="str">
            <v>BIRMINGHAM MARKETPLACE</v>
          </cell>
          <cell r="G103" t="str">
            <v>77012701</v>
          </cell>
          <cell r="H103">
            <v>7.99</v>
          </cell>
          <cell r="I103" t="str">
            <v>AL</v>
          </cell>
        </row>
        <row r="104">
          <cell r="A104" t="str">
            <v>EQUITY LOAN</v>
          </cell>
          <cell r="B104" t="str">
            <v>815561</v>
          </cell>
          <cell r="C104">
            <v>36046</v>
          </cell>
          <cell r="D104" t="str">
            <v>APPR</v>
          </cell>
          <cell r="E104">
            <v>40000</v>
          </cell>
          <cell r="F104" t="str">
            <v>TELEPHONE BANKING - ALABAMA</v>
          </cell>
          <cell r="G104" t="str">
            <v>93001</v>
          </cell>
          <cell r="H104">
            <v>7.99</v>
          </cell>
          <cell r="I104" t="str">
            <v>AL</v>
          </cell>
        </row>
        <row r="105">
          <cell r="A105" t="str">
            <v>EQUITY LOAN</v>
          </cell>
          <cell r="B105" t="str">
            <v>816322</v>
          </cell>
          <cell r="C105">
            <v>36047</v>
          </cell>
          <cell r="D105" t="str">
            <v>APPR</v>
          </cell>
          <cell r="E105">
            <v>40000</v>
          </cell>
          <cell r="F105" t="str">
            <v>ONEONTA MAIN</v>
          </cell>
          <cell r="G105" t="str">
            <v>77030302</v>
          </cell>
          <cell r="H105">
            <v>7.99</v>
          </cell>
          <cell r="I105" t="str">
            <v>AL</v>
          </cell>
        </row>
        <row r="106">
          <cell r="A106" t="str">
            <v>EQUITY LOAN</v>
          </cell>
          <cell r="B106" t="str">
            <v>816422</v>
          </cell>
          <cell r="C106">
            <v>36047</v>
          </cell>
          <cell r="D106" t="str">
            <v>APPR</v>
          </cell>
          <cell r="E106">
            <v>40000</v>
          </cell>
          <cell r="F106" t="str">
            <v>ALBERTVILLE MAIN</v>
          </cell>
          <cell r="G106" t="str">
            <v>77030002</v>
          </cell>
          <cell r="H106">
            <v>7.99</v>
          </cell>
          <cell r="I106" t="str">
            <v>AL</v>
          </cell>
        </row>
        <row r="107">
          <cell r="A107" t="str">
            <v>EQUITY LOAN</v>
          </cell>
          <cell r="B107" t="str">
            <v>816590</v>
          </cell>
          <cell r="C107">
            <v>36048</v>
          </cell>
          <cell r="D107" t="str">
            <v>APPR</v>
          </cell>
          <cell r="E107">
            <v>40000</v>
          </cell>
          <cell r="F107" t="str">
            <v>MONTGOMERY FOREST HILLS</v>
          </cell>
          <cell r="G107" t="str">
            <v>77040530</v>
          </cell>
          <cell r="H107">
            <v>7.99</v>
          </cell>
          <cell r="I107" t="str">
            <v>AL</v>
          </cell>
        </row>
        <row r="108">
          <cell r="A108" t="str">
            <v>EQUITY LOAN</v>
          </cell>
          <cell r="B108" t="str">
            <v>817219</v>
          </cell>
          <cell r="C108">
            <v>36049</v>
          </cell>
          <cell r="D108" t="str">
            <v>APPR</v>
          </cell>
          <cell r="E108">
            <v>40000</v>
          </cell>
          <cell r="F108" t="str">
            <v>CULLMAN MAIN</v>
          </cell>
          <cell r="G108" t="str">
            <v>77030402</v>
          </cell>
          <cell r="H108">
            <v>7.99</v>
          </cell>
          <cell r="I108" t="str">
            <v>AL</v>
          </cell>
        </row>
        <row r="109">
          <cell r="A109" t="str">
            <v>EQUITY LOAN</v>
          </cell>
          <cell r="B109" t="str">
            <v>817245</v>
          </cell>
          <cell r="C109">
            <v>36049</v>
          </cell>
          <cell r="D109" t="str">
            <v>APPR</v>
          </cell>
          <cell r="E109">
            <v>40000</v>
          </cell>
          <cell r="F109" t="str">
            <v>MOBILE COTTAGE HILL</v>
          </cell>
          <cell r="G109" t="str">
            <v>77021870</v>
          </cell>
          <cell r="H109">
            <v>7.99</v>
          </cell>
          <cell r="I109" t="str">
            <v>AL</v>
          </cell>
        </row>
        <row r="110">
          <cell r="A110" t="str">
            <v>EQUITY LOAN</v>
          </cell>
          <cell r="B110" t="str">
            <v>817949</v>
          </cell>
          <cell r="C110">
            <v>36052</v>
          </cell>
          <cell r="D110" t="str">
            <v>APPR</v>
          </cell>
          <cell r="E110">
            <v>40000</v>
          </cell>
          <cell r="F110" t="str">
            <v>HUNTSVILLE GOVERNOR'S DRIVE</v>
          </cell>
          <cell r="G110" t="str">
            <v>77032302</v>
          </cell>
          <cell r="H110">
            <v>7.99</v>
          </cell>
          <cell r="I110" t="str">
            <v>AL</v>
          </cell>
        </row>
        <row r="111">
          <cell r="A111" t="str">
            <v>EQUITY LOAN</v>
          </cell>
          <cell r="B111" t="str">
            <v>818058</v>
          </cell>
          <cell r="C111">
            <v>36052</v>
          </cell>
          <cell r="D111" t="str">
            <v>APPR</v>
          </cell>
          <cell r="E111">
            <v>40000</v>
          </cell>
          <cell r="F111" t="str">
            <v>TELEPHONE BANKING - ALABAMA</v>
          </cell>
          <cell r="G111" t="str">
            <v>93001</v>
          </cell>
          <cell r="H111">
            <v>8.24</v>
          </cell>
          <cell r="I111" t="str">
            <v>AL</v>
          </cell>
        </row>
        <row r="112">
          <cell r="A112" t="str">
            <v>EQUITY LOAN</v>
          </cell>
          <cell r="B112" t="str">
            <v>818447</v>
          </cell>
          <cell r="C112">
            <v>36052</v>
          </cell>
          <cell r="D112" t="str">
            <v>APPR</v>
          </cell>
          <cell r="E112">
            <v>40000</v>
          </cell>
          <cell r="F112" t="str">
            <v>TELEPHONE BANKING - WEB FL</v>
          </cell>
          <cell r="G112" t="str">
            <v>93010</v>
          </cell>
          <cell r="H112">
            <v>7.99</v>
          </cell>
          <cell r="I112" t="str">
            <v>AL</v>
          </cell>
        </row>
        <row r="113">
          <cell r="A113" t="str">
            <v>EQUITY LOAN</v>
          </cell>
          <cell r="B113" t="str">
            <v>818605</v>
          </cell>
          <cell r="C113">
            <v>36053</v>
          </cell>
          <cell r="D113" t="str">
            <v>APPR</v>
          </cell>
          <cell r="E113">
            <v>40000</v>
          </cell>
          <cell r="F113" t="str">
            <v>MOBILE SKYLINE</v>
          </cell>
          <cell r="G113" t="str">
            <v>77021570</v>
          </cell>
          <cell r="H113">
            <v>7.99</v>
          </cell>
          <cell r="I113" t="str">
            <v>AL</v>
          </cell>
        </row>
        <row r="114">
          <cell r="A114" t="str">
            <v>EQUITY LOAN</v>
          </cell>
          <cell r="B114" t="str">
            <v>818688</v>
          </cell>
          <cell r="C114">
            <v>36053</v>
          </cell>
          <cell r="D114" t="str">
            <v>APPR</v>
          </cell>
          <cell r="E114">
            <v>40000</v>
          </cell>
          <cell r="F114" t="str">
            <v>BIRMINGHAM MARKETPLACE</v>
          </cell>
          <cell r="G114" t="str">
            <v>77012701</v>
          </cell>
          <cell r="H114">
            <v>7.99</v>
          </cell>
          <cell r="I114" t="str">
            <v>AL</v>
          </cell>
        </row>
        <row r="115">
          <cell r="A115" t="str">
            <v>EQUITY LOAN</v>
          </cell>
          <cell r="B115" t="str">
            <v>818766</v>
          </cell>
          <cell r="C115">
            <v>36053</v>
          </cell>
          <cell r="D115" t="str">
            <v>APPR</v>
          </cell>
          <cell r="E115">
            <v>40000</v>
          </cell>
          <cell r="F115" t="str">
            <v>TELEPHONE BANKING - ALABAMA</v>
          </cell>
          <cell r="G115" t="str">
            <v>93001</v>
          </cell>
          <cell r="H115">
            <v>7.99</v>
          </cell>
          <cell r="I115" t="str">
            <v>AL</v>
          </cell>
        </row>
        <row r="116">
          <cell r="A116" t="str">
            <v>EQUITY LOAN</v>
          </cell>
          <cell r="B116" t="str">
            <v>818990</v>
          </cell>
          <cell r="C116">
            <v>36053</v>
          </cell>
          <cell r="D116" t="str">
            <v>APPR</v>
          </cell>
          <cell r="E116">
            <v>40000</v>
          </cell>
          <cell r="F116" t="str">
            <v>JACKSONVILLE SOUTHPOINT</v>
          </cell>
          <cell r="G116" t="str">
            <v>65063966</v>
          </cell>
          <cell r="H116">
            <v>7.99</v>
          </cell>
          <cell r="I116" t="str">
            <v>FL</v>
          </cell>
        </row>
        <row r="117">
          <cell r="A117" t="str">
            <v>EQUITY LOAN</v>
          </cell>
          <cell r="B117" t="str">
            <v>819765</v>
          </cell>
          <cell r="C117">
            <v>36055</v>
          </cell>
          <cell r="D117" t="str">
            <v>APPR</v>
          </cell>
          <cell r="E117">
            <v>40000</v>
          </cell>
          <cell r="F117" t="str">
            <v>MONTGOMERY NORMANDALE</v>
          </cell>
          <cell r="G117" t="str">
            <v>77040430</v>
          </cell>
          <cell r="H117">
            <v>7.99</v>
          </cell>
          <cell r="I117" t="str">
            <v>AL</v>
          </cell>
        </row>
        <row r="118">
          <cell r="A118" t="str">
            <v>EQUITY LOAN</v>
          </cell>
          <cell r="B118" t="str">
            <v>802523</v>
          </cell>
          <cell r="C118">
            <v>36018</v>
          </cell>
          <cell r="D118" t="str">
            <v>CNTR</v>
          </cell>
          <cell r="E118">
            <v>102000</v>
          </cell>
          <cell r="F118" t="str">
            <v>BIRMINGHAM BROOKWOOD</v>
          </cell>
          <cell r="G118" t="str">
            <v>77010601</v>
          </cell>
          <cell r="H118">
            <v>7.99</v>
          </cell>
          <cell r="I118" t="str">
            <v>AL</v>
          </cell>
        </row>
        <row r="119">
          <cell r="A119" t="str">
            <v>EQUITY LOAN</v>
          </cell>
          <cell r="B119" t="str">
            <v>818690</v>
          </cell>
          <cell r="C119">
            <v>36053</v>
          </cell>
          <cell r="D119" t="str">
            <v>CNTR</v>
          </cell>
          <cell r="E119">
            <v>100000</v>
          </cell>
          <cell r="F119" t="str">
            <v>JACKSONVILLE INDEPENDENT</v>
          </cell>
          <cell r="G119" t="str">
            <v>65064166</v>
          </cell>
          <cell r="H119">
            <v>8.5</v>
          </cell>
          <cell r="I119" t="str">
            <v>FL</v>
          </cell>
        </row>
        <row r="120">
          <cell r="A120" t="str">
            <v>EQUITY LOAN</v>
          </cell>
          <cell r="B120" t="str">
            <v>803179</v>
          </cell>
          <cell r="C120">
            <v>36019</v>
          </cell>
          <cell r="D120" t="str">
            <v>CNTR</v>
          </cell>
          <cell r="E120">
            <v>74525</v>
          </cell>
          <cell r="F120" t="str">
            <v>HUNTSVILLE GOVERNOR'S DRIVE</v>
          </cell>
          <cell r="G120" t="str">
            <v>77032302</v>
          </cell>
          <cell r="H120">
            <v>7.99</v>
          </cell>
          <cell r="I120" t="str">
            <v>AL</v>
          </cell>
        </row>
        <row r="121">
          <cell r="A121" t="str">
            <v>EQUITY LOAN</v>
          </cell>
          <cell r="B121" t="str">
            <v>813704</v>
          </cell>
          <cell r="C121">
            <v>36041</v>
          </cell>
          <cell r="D121" t="str">
            <v>CNTR</v>
          </cell>
          <cell r="E121">
            <v>72600</v>
          </cell>
          <cell r="F121" t="str">
            <v>BIRMINGHAM UAB</v>
          </cell>
          <cell r="G121" t="str">
            <v>77000101</v>
          </cell>
          <cell r="H121">
            <v>7.99</v>
          </cell>
          <cell r="I121" t="str">
            <v>AL</v>
          </cell>
        </row>
        <row r="122">
          <cell r="A122" t="str">
            <v>EQUITY LOAN</v>
          </cell>
          <cell r="B122" t="str">
            <v>820584</v>
          </cell>
          <cell r="C122">
            <v>36057</v>
          </cell>
          <cell r="D122" t="str">
            <v>CNTR</v>
          </cell>
          <cell r="E122">
            <v>69000</v>
          </cell>
          <cell r="F122" t="str">
            <v>TELEPHONE BANKING - FLORIDA</v>
          </cell>
          <cell r="G122" t="str">
            <v>93002</v>
          </cell>
          <cell r="H122">
            <v>7.99</v>
          </cell>
          <cell r="I122" t="str">
            <v>FL</v>
          </cell>
        </row>
        <row r="123">
          <cell r="A123" t="str">
            <v>EQUITY LOAN</v>
          </cell>
          <cell r="B123" t="str">
            <v>806104</v>
          </cell>
          <cell r="C123">
            <v>36025</v>
          </cell>
          <cell r="D123" t="str">
            <v>CNTR</v>
          </cell>
          <cell r="E123">
            <v>65000</v>
          </cell>
          <cell r="F123" t="str">
            <v>HUNTSVILLE GOVERNOR'S DRIVE</v>
          </cell>
          <cell r="G123" t="str">
            <v>77032302</v>
          </cell>
          <cell r="H123">
            <v>8.5</v>
          </cell>
          <cell r="I123" t="str">
            <v>AL</v>
          </cell>
        </row>
        <row r="124">
          <cell r="A124" t="str">
            <v>EQUITY LOAN</v>
          </cell>
          <cell r="B124" t="str">
            <v>797338</v>
          </cell>
          <cell r="C124">
            <v>36006</v>
          </cell>
          <cell r="D124" t="str">
            <v>CNTR</v>
          </cell>
          <cell r="E124">
            <v>54000</v>
          </cell>
          <cell r="F124" t="str">
            <v>TELEPHONE BANKING - ALABAMA</v>
          </cell>
          <cell r="G124" t="str">
            <v>93001</v>
          </cell>
          <cell r="H124">
            <v>7.99</v>
          </cell>
          <cell r="I124" t="str">
            <v>AL</v>
          </cell>
        </row>
        <row r="125">
          <cell r="A125" t="str">
            <v>EQUITY LOAN</v>
          </cell>
          <cell r="B125" t="str">
            <v>816298</v>
          </cell>
          <cell r="C125">
            <v>36047</v>
          </cell>
          <cell r="D125" t="str">
            <v>CNTR</v>
          </cell>
          <cell r="E125">
            <v>53700</v>
          </cell>
          <cell r="F125" t="str">
            <v>TELEPHONE BANKING - ALABAMA</v>
          </cell>
          <cell r="G125" t="str">
            <v>93001</v>
          </cell>
          <cell r="H125">
            <v>8.99</v>
          </cell>
          <cell r="I125" t="str">
            <v>AL</v>
          </cell>
        </row>
        <row r="126">
          <cell r="A126" t="str">
            <v>EQUITY LOAN</v>
          </cell>
          <cell r="B126" t="str">
            <v>806327</v>
          </cell>
          <cell r="C126">
            <v>36025</v>
          </cell>
          <cell r="D126" t="str">
            <v>CNTR</v>
          </cell>
          <cell r="E126">
            <v>41000</v>
          </cell>
          <cell r="F126" t="str">
            <v>HUNTSVILLE SULLIVAN STREET</v>
          </cell>
          <cell r="G126" t="str">
            <v>77033202</v>
          </cell>
          <cell r="H126">
            <v>7.99</v>
          </cell>
          <cell r="I126" t="str">
            <v>AL</v>
          </cell>
        </row>
        <row r="127">
          <cell r="A127" t="str">
            <v>EQUITY LOAN</v>
          </cell>
          <cell r="B127" t="str">
            <v>806165</v>
          </cell>
          <cell r="C127">
            <v>36025</v>
          </cell>
          <cell r="D127" t="str">
            <v>CNTR</v>
          </cell>
          <cell r="E127">
            <v>40000</v>
          </cell>
          <cell r="F127" t="str">
            <v>MOBILE COTTAGE HILL</v>
          </cell>
          <cell r="G127" t="str">
            <v>77021870</v>
          </cell>
          <cell r="H127">
            <v>7.99</v>
          </cell>
          <cell r="I127" t="str">
            <v>AL</v>
          </cell>
        </row>
        <row r="128">
          <cell r="A128" t="str">
            <v>EQUITY LOAN</v>
          </cell>
          <cell r="B128" t="str">
            <v>809799</v>
          </cell>
          <cell r="C128">
            <v>36032</v>
          </cell>
          <cell r="D128" t="str">
            <v>CNTR</v>
          </cell>
          <cell r="E128">
            <v>40000</v>
          </cell>
          <cell r="F128" t="str">
            <v>TELEPHONE BANKING - ALABAMA</v>
          </cell>
          <cell r="G128" t="str">
            <v>93001</v>
          </cell>
          <cell r="H128">
            <v>8.74</v>
          </cell>
          <cell r="I128" t="str">
            <v>AL</v>
          </cell>
        </row>
        <row r="129">
          <cell r="E129">
            <v>5604620</v>
          </cell>
          <cell r="F129">
            <v>107</v>
          </cell>
        </row>
        <row r="130">
          <cell r="F130">
            <v>52379.626168224298</v>
          </cell>
        </row>
        <row r="132">
          <cell r="A132" t="str">
            <v>EQUITY LOAN</v>
          </cell>
          <cell r="B132" t="str">
            <v>813817</v>
          </cell>
          <cell r="C132">
            <v>36041</v>
          </cell>
          <cell r="D132" t="str">
            <v>APPR</v>
          </cell>
          <cell r="E132">
            <v>35500</v>
          </cell>
          <cell r="F132" t="str">
            <v>TELEPHONE BANKING - ALABAMA</v>
          </cell>
          <cell r="G132" t="str">
            <v>93001</v>
          </cell>
          <cell r="H132">
            <v>8.49</v>
          </cell>
          <cell r="I132" t="str">
            <v>AL</v>
          </cell>
        </row>
        <row r="133">
          <cell r="A133" t="str">
            <v>EQUITY LOAN</v>
          </cell>
          <cell r="B133" t="str">
            <v>797128</v>
          </cell>
          <cell r="C133">
            <v>36005</v>
          </cell>
          <cell r="D133" t="str">
            <v>APPR</v>
          </cell>
          <cell r="E133">
            <v>35000</v>
          </cell>
          <cell r="F133" t="str">
            <v>BIRMINGHAM INVERNESS</v>
          </cell>
          <cell r="G133" t="str">
            <v>77014001</v>
          </cell>
          <cell r="H133">
            <v>8.5</v>
          </cell>
          <cell r="I133" t="str">
            <v>AL</v>
          </cell>
        </row>
        <row r="134">
          <cell r="A134" t="str">
            <v>EQUITY LOAN</v>
          </cell>
          <cell r="B134" t="str">
            <v>800587</v>
          </cell>
          <cell r="C134">
            <v>36013</v>
          </cell>
          <cell r="D134" t="str">
            <v>APPR</v>
          </cell>
          <cell r="E134">
            <v>35000</v>
          </cell>
          <cell r="F134" t="str">
            <v>BIRMINGHAM UAB</v>
          </cell>
          <cell r="G134" t="str">
            <v>77000101</v>
          </cell>
          <cell r="H134">
            <v>7.99</v>
          </cell>
          <cell r="I134" t="str">
            <v>AL</v>
          </cell>
        </row>
        <row r="135">
          <cell r="A135" t="str">
            <v>EQUITY LOAN</v>
          </cell>
          <cell r="B135" t="str">
            <v>801605</v>
          </cell>
          <cell r="C135">
            <v>36015</v>
          </cell>
          <cell r="D135" t="str">
            <v>APPR</v>
          </cell>
          <cell r="E135">
            <v>35000</v>
          </cell>
          <cell r="F135" t="str">
            <v>TELEPHONE BANKING - ALABAMA</v>
          </cell>
          <cell r="G135" t="str">
            <v>93001</v>
          </cell>
          <cell r="H135">
            <v>8.49</v>
          </cell>
          <cell r="I135" t="str">
            <v>AL</v>
          </cell>
        </row>
        <row r="136">
          <cell r="A136" t="str">
            <v>EQUITY LOAN</v>
          </cell>
          <cell r="B136" t="str">
            <v>803640</v>
          </cell>
          <cell r="C136">
            <v>36019</v>
          </cell>
          <cell r="D136" t="str">
            <v>APPR</v>
          </cell>
          <cell r="E136">
            <v>35000</v>
          </cell>
          <cell r="F136" t="str">
            <v>MOBILE OVERLOOK</v>
          </cell>
          <cell r="G136" t="str">
            <v>77021370</v>
          </cell>
          <cell r="H136">
            <v>8.4700000000000006</v>
          </cell>
          <cell r="I136" t="str">
            <v>AL</v>
          </cell>
        </row>
        <row r="137">
          <cell r="A137" t="str">
            <v>EQUITY LOAN</v>
          </cell>
          <cell r="B137" t="str">
            <v>816939</v>
          </cell>
          <cell r="C137">
            <v>36048</v>
          </cell>
          <cell r="D137" t="str">
            <v>APPR</v>
          </cell>
          <cell r="E137">
            <v>35000</v>
          </cell>
          <cell r="F137" t="str">
            <v>TELEPHONE BANKING - ALABAMA</v>
          </cell>
          <cell r="G137" t="str">
            <v>93001</v>
          </cell>
          <cell r="H137">
            <v>8.74</v>
          </cell>
          <cell r="I137" t="str">
            <v>AL</v>
          </cell>
        </row>
        <row r="138">
          <cell r="A138" t="str">
            <v>EQUITY LOAN</v>
          </cell>
          <cell r="B138" t="str">
            <v>813705</v>
          </cell>
          <cell r="C138">
            <v>36041</v>
          </cell>
          <cell r="D138" t="str">
            <v>APPR</v>
          </cell>
          <cell r="E138">
            <v>33700</v>
          </cell>
          <cell r="F138" t="str">
            <v>HUNTSVILLE GOVERNOR'S DRIVE</v>
          </cell>
          <cell r="G138" t="str">
            <v>77032302</v>
          </cell>
          <cell r="H138">
            <v>8.49</v>
          </cell>
          <cell r="I138" t="str">
            <v>AL</v>
          </cell>
        </row>
        <row r="139">
          <cell r="A139" t="str">
            <v>EQUITY LOAN</v>
          </cell>
          <cell r="B139" t="str">
            <v>803781</v>
          </cell>
          <cell r="C139">
            <v>36020</v>
          </cell>
          <cell r="D139" t="str">
            <v>APPR</v>
          </cell>
          <cell r="E139">
            <v>33000</v>
          </cell>
          <cell r="F139" t="str">
            <v>TELEPHONE BANKING - ALABAMA</v>
          </cell>
          <cell r="G139" t="str">
            <v>93001</v>
          </cell>
          <cell r="H139">
            <v>9.24</v>
          </cell>
          <cell r="I139" t="str">
            <v>AL</v>
          </cell>
        </row>
        <row r="140">
          <cell r="A140" t="str">
            <v>EQUITY LOAN</v>
          </cell>
          <cell r="B140" t="str">
            <v>804369</v>
          </cell>
          <cell r="C140">
            <v>36021</v>
          </cell>
          <cell r="D140" t="str">
            <v>APPR</v>
          </cell>
          <cell r="E140">
            <v>33000</v>
          </cell>
          <cell r="F140" t="str">
            <v>MOBILE SKYLINE</v>
          </cell>
          <cell r="G140" t="str">
            <v>77021570</v>
          </cell>
          <cell r="H140">
            <v>8.49</v>
          </cell>
          <cell r="I140" t="str">
            <v>AL</v>
          </cell>
        </row>
        <row r="141">
          <cell r="A141" t="str">
            <v>EQUITY LOAN</v>
          </cell>
          <cell r="B141" t="str">
            <v>804439</v>
          </cell>
          <cell r="C141">
            <v>36021</v>
          </cell>
          <cell r="D141" t="str">
            <v>APPR</v>
          </cell>
          <cell r="E141">
            <v>33000</v>
          </cell>
          <cell r="F141" t="str">
            <v>HUNTSVILLE HAYSLAND SQUARE</v>
          </cell>
          <cell r="G141" t="str">
            <v>77038602</v>
          </cell>
          <cell r="H141">
            <v>8.49</v>
          </cell>
          <cell r="I141" t="str">
            <v>AL</v>
          </cell>
        </row>
        <row r="142">
          <cell r="A142" t="str">
            <v>EQUITY LOAN</v>
          </cell>
          <cell r="B142" t="str">
            <v>801843</v>
          </cell>
          <cell r="C142">
            <v>36017</v>
          </cell>
          <cell r="D142" t="str">
            <v>APPR</v>
          </cell>
          <cell r="E142">
            <v>32000</v>
          </cell>
          <cell r="F142" t="str">
            <v>MONTGOMERY EASTDALE</v>
          </cell>
          <cell r="G142" t="str">
            <v>77040730</v>
          </cell>
          <cell r="H142">
            <v>8.49</v>
          </cell>
          <cell r="I142" t="str">
            <v>AL</v>
          </cell>
        </row>
        <row r="143">
          <cell r="A143" t="str">
            <v>EQUITY LOAN</v>
          </cell>
          <cell r="B143" t="str">
            <v>803838</v>
          </cell>
          <cell r="C143">
            <v>36020</v>
          </cell>
          <cell r="D143" t="str">
            <v>APPR</v>
          </cell>
          <cell r="E143">
            <v>32000</v>
          </cell>
          <cell r="F143" t="str">
            <v>JACKSONVILLE DEERWOOD</v>
          </cell>
          <cell r="G143" t="str">
            <v>65066166</v>
          </cell>
          <cell r="H143">
            <v>8.49</v>
          </cell>
          <cell r="I143" t="str">
            <v>FL</v>
          </cell>
        </row>
        <row r="144">
          <cell r="A144" t="str">
            <v>EQUITY LOAN</v>
          </cell>
          <cell r="B144" t="str">
            <v>814789</v>
          </cell>
          <cell r="C144">
            <v>36043</v>
          </cell>
          <cell r="D144" t="str">
            <v>APPR</v>
          </cell>
          <cell r="E144">
            <v>32000</v>
          </cell>
          <cell r="F144" t="str">
            <v>TELEPHONE BANKING - ALABAMA</v>
          </cell>
          <cell r="G144" t="str">
            <v>93001</v>
          </cell>
          <cell r="H144">
            <v>8.49</v>
          </cell>
          <cell r="I144" t="str">
            <v>AL</v>
          </cell>
        </row>
        <row r="145">
          <cell r="A145" t="str">
            <v>EQUITY LOAN</v>
          </cell>
          <cell r="B145" t="str">
            <v>815568</v>
          </cell>
          <cell r="C145">
            <v>36046</v>
          </cell>
          <cell r="D145" t="str">
            <v>APPR</v>
          </cell>
          <cell r="E145">
            <v>32000</v>
          </cell>
          <cell r="F145" t="str">
            <v>TELEPHONE BANKING - ALABAMA</v>
          </cell>
          <cell r="G145" t="str">
            <v>93001</v>
          </cell>
          <cell r="H145">
            <v>8.49</v>
          </cell>
          <cell r="I145" t="str">
            <v>AL</v>
          </cell>
        </row>
        <row r="146">
          <cell r="A146" t="str">
            <v>EQUITY LOAN</v>
          </cell>
          <cell r="B146" t="str">
            <v>817186</v>
          </cell>
          <cell r="C146">
            <v>36049</v>
          </cell>
          <cell r="D146" t="str">
            <v>APPR</v>
          </cell>
          <cell r="E146">
            <v>32000</v>
          </cell>
          <cell r="F146" t="str">
            <v>TELEPHONE BANKING - ALABAMA</v>
          </cell>
          <cell r="G146" t="str">
            <v>93001</v>
          </cell>
          <cell r="H146">
            <v>8.49</v>
          </cell>
          <cell r="I146" t="str">
            <v>AL</v>
          </cell>
        </row>
        <row r="147">
          <cell r="A147" t="str">
            <v>EQUITY LOAN</v>
          </cell>
          <cell r="B147" t="str">
            <v>801040</v>
          </cell>
          <cell r="C147">
            <v>36014</v>
          </cell>
          <cell r="D147" t="str">
            <v>APPR</v>
          </cell>
          <cell r="E147">
            <v>30000</v>
          </cell>
          <cell r="F147" t="str">
            <v>MOBILE BEL AIR</v>
          </cell>
          <cell r="G147" t="str">
            <v>77020570</v>
          </cell>
          <cell r="H147">
            <v>8.49</v>
          </cell>
          <cell r="I147" t="str">
            <v>AL</v>
          </cell>
        </row>
        <row r="148">
          <cell r="A148" t="str">
            <v>EQUITY LOAN</v>
          </cell>
          <cell r="B148" t="str">
            <v>803634</v>
          </cell>
          <cell r="C148">
            <v>36019</v>
          </cell>
          <cell r="D148" t="str">
            <v>APPR</v>
          </cell>
          <cell r="E148">
            <v>30000</v>
          </cell>
          <cell r="F148" t="str">
            <v>JACKSONVILLE NORTHSIDE</v>
          </cell>
          <cell r="G148" t="str">
            <v>65062765</v>
          </cell>
          <cell r="H148">
            <v>8.49</v>
          </cell>
          <cell r="I148" t="str">
            <v>FL</v>
          </cell>
        </row>
        <row r="149">
          <cell r="A149" t="str">
            <v>EQUITY LOAN</v>
          </cell>
          <cell r="B149" t="str">
            <v>814162</v>
          </cell>
          <cell r="C149">
            <v>36041</v>
          </cell>
          <cell r="D149" t="str">
            <v>APPR</v>
          </cell>
          <cell r="E149">
            <v>30000</v>
          </cell>
          <cell r="F149" t="str">
            <v>JACKSONVILLE PARK AVENUE</v>
          </cell>
          <cell r="G149" t="str">
            <v>65066266</v>
          </cell>
          <cell r="H149">
            <v>8.49</v>
          </cell>
          <cell r="I149" t="str">
            <v>FL</v>
          </cell>
        </row>
        <row r="150">
          <cell r="A150" t="str">
            <v>EQUITY LOAN</v>
          </cell>
          <cell r="B150" t="str">
            <v>816910</v>
          </cell>
          <cell r="C150">
            <v>36048</v>
          </cell>
          <cell r="D150" t="str">
            <v>APPR</v>
          </cell>
          <cell r="E150">
            <v>30000</v>
          </cell>
          <cell r="F150" t="str">
            <v>JACKSONVILLE ORANGE PARK</v>
          </cell>
          <cell r="G150" t="str">
            <v>65062665</v>
          </cell>
          <cell r="H150">
            <v>8.49</v>
          </cell>
          <cell r="I150" t="str">
            <v>FL</v>
          </cell>
        </row>
        <row r="151">
          <cell r="A151" t="str">
            <v>EQUITY LOAN</v>
          </cell>
          <cell r="B151" t="str">
            <v>819407</v>
          </cell>
          <cell r="C151">
            <v>36054</v>
          </cell>
          <cell r="D151" t="str">
            <v>APPR</v>
          </cell>
          <cell r="E151">
            <v>30000</v>
          </cell>
          <cell r="F151" t="str">
            <v>JACKSONVILLE MIDDLEBURG</v>
          </cell>
          <cell r="G151" t="str">
            <v>65066066</v>
          </cell>
          <cell r="H151">
            <v>8.4499999999999993</v>
          </cell>
          <cell r="I151" t="str">
            <v>FL</v>
          </cell>
        </row>
        <row r="152">
          <cell r="A152" t="str">
            <v>EQUITY LOAN</v>
          </cell>
          <cell r="B152" t="str">
            <v>819316</v>
          </cell>
          <cell r="C152">
            <v>36054</v>
          </cell>
          <cell r="D152" t="str">
            <v>APPR</v>
          </cell>
          <cell r="E152">
            <v>29500</v>
          </cell>
          <cell r="F152" t="str">
            <v>MOBILE CHICKASAW</v>
          </cell>
          <cell r="G152" t="str">
            <v>77020370</v>
          </cell>
          <cell r="H152">
            <v>8.49</v>
          </cell>
          <cell r="I152" t="str">
            <v>AL</v>
          </cell>
        </row>
        <row r="153">
          <cell r="A153" t="str">
            <v>EQUITY LOAN</v>
          </cell>
          <cell r="B153" t="str">
            <v>798705</v>
          </cell>
          <cell r="C153">
            <v>36010</v>
          </cell>
          <cell r="D153" t="str">
            <v>APPR</v>
          </cell>
          <cell r="E153">
            <v>27500</v>
          </cell>
          <cell r="F153" t="str">
            <v>MOBILE DAUPHIN ISLAND</v>
          </cell>
          <cell r="G153" t="str">
            <v>77020270</v>
          </cell>
          <cell r="H153">
            <v>8.49</v>
          </cell>
          <cell r="I153" t="str">
            <v>AL</v>
          </cell>
        </row>
        <row r="154">
          <cell r="A154" t="str">
            <v>EQUITY LOAN</v>
          </cell>
          <cell r="B154" t="str">
            <v>803626</v>
          </cell>
          <cell r="C154">
            <v>36019</v>
          </cell>
          <cell r="D154" t="str">
            <v>APPR</v>
          </cell>
          <cell r="E154">
            <v>27500</v>
          </cell>
          <cell r="F154" t="str">
            <v>MOBILE CLOVERLEAF</v>
          </cell>
          <cell r="G154" t="str">
            <v>77021170</v>
          </cell>
          <cell r="H154">
            <v>8.49</v>
          </cell>
          <cell r="I154" t="str">
            <v>AL</v>
          </cell>
        </row>
        <row r="155">
          <cell r="A155" t="str">
            <v>EQUITY LOAN</v>
          </cell>
          <cell r="B155" t="str">
            <v>797894</v>
          </cell>
          <cell r="C155">
            <v>36007</v>
          </cell>
          <cell r="D155" t="str">
            <v>APPR</v>
          </cell>
          <cell r="E155">
            <v>27400</v>
          </cell>
          <cell r="F155" t="str">
            <v>BIRMINGHAM RIVERCHASE</v>
          </cell>
          <cell r="G155" t="str">
            <v>77010901</v>
          </cell>
          <cell r="H155">
            <v>10.49</v>
          </cell>
          <cell r="I155" t="str">
            <v>AL</v>
          </cell>
        </row>
        <row r="156">
          <cell r="A156" t="str">
            <v>EQUITY LOAN</v>
          </cell>
          <cell r="B156" t="str">
            <v>814710</v>
          </cell>
          <cell r="C156">
            <v>36042</v>
          </cell>
          <cell r="D156" t="str">
            <v>APPR</v>
          </cell>
          <cell r="E156">
            <v>27000</v>
          </cell>
          <cell r="F156" t="str">
            <v>TELEPHONE BANKING - ALABAMA</v>
          </cell>
          <cell r="G156" t="str">
            <v>93001</v>
          </cell>
          <cell r="H156">
            <v>8.49</v>
          </cell>
          <cell r="I156" t="str">
            <v>AL</v>
          </cell>
        </row>
        <row r="157">
          <cell r="A157" t="str">
            <v>EQUITY LOAN</v>
          </cell>
          <cell r="B157" t="str">
            <v>803152</v>
          </cell>
          <cell r="C157">
            <v>36019</v>
          </cell>
          <cell r="D157" t="str">
            <v>APPR</v>
          </cell>
          <cell r="E157">
            <v>26600</v>
          </cell>
          <cell r="F157" t="str">
            <v>WALKER COUNTY JASPER MAIN</v>
          </cell>
          <cell r="G157" t="str">
            <v>77025131</v>
          </cell>
          <cell r="H157">
            <v>8.49</v>
          </cell>
          <cell r="I157" t="str">
            <v>AL</v>
          </cell>
        </row>
        <row r="158">
          <cell r="A158" t="str">
            <v>EQUITY LOAN</v>
          </cell>
          <cell r="B158" t="str">
            <v>800999</v>
          </cell>
          <cell r="C158">
            <v>36014</v>
          </cell>
          <cell r="D158" t="str">
            <v>APPR</v>
          </cell>
          <cell r="E158">
            <v>26000</v>
          </cell>
          <cell r="F158" t="str">
            <v>MOBILE BEL AIR</v>
          </cell>
          <cell r="G158" t="str">
            <v>77020570</v>
          </cell>
          <cell r="H158">
            <v>8.49</v>
          </cell>
          <cell r="I158" t="str">
            <v>AL</v>
          </cell>
        </row>
        <row r="159">
          <cell r="A159" t="str">
            <v>EQUITY LOAN</v>
          </cell>
          <cell r="B159" t="str">
            <v>803738</v>
          </cell>
          <cell r="C159">
            <v>36020</v>
          </cell>
          <cell r="D159" t="str">
            <v>APPR</v>
          </cell>
          <cell r="E159">
            <v>26000</v>
          </cell>
          <cell r="F159" t="str">
            <v>MOBILE CHICKASAW</v>
          </cell>
          <cell r="G159" t="str">
            <v>77020370</v>
          </cell>
          <cell r="H159">
            <v>8.49</v>
          </cell>
          <cell r="I159" t="str">
            <v>AL</v>
          </cell>
        </row>
        <row r="160">
          <cell r="A160" t="str">
            <v>EQUITY LOAN</v>
          </cell>
          <cell r="B160" t="str">
            <v>815402</v>
          </cell>
          <cell r="C160">
            <v>36046</v>
          </cell>
          <cell r="D160" t="str">
            <v>APPR</v>
          </cell>
          <cell r="E160">
            <v>25400</v>
          </cell>
          <cell r="F160" t="str">
            <v>BIRMINGHAM RIVERCHASE</v>
          </cell>
          <cell r="G160" t="str">
            <v>77010901</v>
          </cell>
          <cell r="H160">
            <v>8.49</v>
          </cell>
          <cell r="I160" t="str">
            <v>AL</v>
          </cell>
        </row>
        <row r="161">
          <cell r="A161" t="str">
            <v>EQUITY LOAN</v>
          </cell>
          <cell r="B161" t="str">
            <v>802969</v>
          </cell>
          <cell r="C161">
            <v>36018</v>
          </cell>
          <cell r="D161" t="str">
            <v>APPR</v>
          </cell>
          <cell r="E161">
            <v>25000</v>
          </cell>
          <cell r="F161" t="str">
            <v>HUNTSVILLE SULLIVAN STREET</v>
          </cell>
          <cell r="G161" t="str">
            <v>77033202</v>
          </cell>
          <cell r="H161">
            <v>8.49</v>
          </cell>
          <cell r="I161" t="str">
            <v>AL</v>
          </cell>
        </row>
        <row r="162">
          <cell r="A162" t="str">
            <v>EQUITY LOAN</v>
          </cell>
          <cell r="B162" t="str">
            <v>803499</v>
          </cell>
          <cell r="C162">
            <v>36019</v>
          </cell>
          <cell r="D162" t="str">
            <v>APPR</v>
          </cell>
          <cell r="E162">
            <v>25000</v>
          </cell>
          <cell r="F162" t="str">
            <v>TELEPHONE BANKING - ALABAMA</v>
          </cell>
          <cell r="G162" t="str">
            <v>93001</v>
          </cell>
          <cell r="H162">
            <v>8.49</v>
          </cell>
          <cell r="I162" t="str">
            <v>AL</v>
          </cell>
        </row>
        <row r="163">
          <cell r="A163" t="str">
            <v>EQUITY LOAN</v>
          </cell>
          <cell r="B163" t="str">
            <v>805183</v>
          </cell>
          <cell r="C163">
            <v>36024</v>
          </cell>
          <cell r="D163" t="str">
            <v>APPR</v>
          </cell>
          <cell r="E163">
            <v>25000</v>
          </cell>
          <cell r="F163" t="str">
            <v>MOBILE BEL AIR</v>
          </cell>
          <cell r="G163" t="str">
            <v>77020570</v>
          </cell>
          <cell r="H163">
            <v>8.49</v>
          </cell>
          <cell r="I163" t="str">
            <v>AL</v>
          </cell>
        </row>
        <row r="164">
          <cell r="A164" t="str">
            <v>EQUITY LOAN</v>
          </cell>
          <cell r="B164" t="str">
            <v>809426</v>
          </cell>
          <cell r="C164">
            <v>36032</v>
          </cell>
          <cell r="D164" t="str">
            <v>APPR</v>
          </cell>
          <cell r="E164">
            <v>25000</v>
          </cell>
          <cell r="F164" t="str">
            <v>JACKSONVILLE LAKEWOOD</v>
          </cell>
          <cell r="G164" t="str">
            <v>65064066</v>
          </cell>
          <cell r="H164">
            <v>8.49</v>
          </cell>
          <cell r="I164" t="str">
            <v>FL</v>
          </cell>
        </row>
        <row r="165">
          <cell r="A165" t="str">
            <v>EQUITY LOAN</v>
          </cell>
          <cell r="B165" t="str">
            <v>812518</v>
          </cell>
          <cell r="C165">
            <v>36039</v>
          </cell>
          <cell r="D165" t="str">
            <v>APPR</v>
          </cell>
          <cell r="E165">
            <v>25000</v>
          </cell>
          <cell r="F165" t="str">
            <v>MOBILE GARDEN DISTRICT</v>
          </cell>
          <cell r="G165" t="str">
            <v>77021470</v>
          </cell>
          <cell r="H165">
            <v>8.5</v>
          </cell>
          <cell r="I165" t="str">
            <v>AL</v>
          </cell>
        </row>
        <row r="166">
          <cell r="A166" t="str">
            <v>EQUITY LOAN</v>
          </cell>
          <cell r="B166" t="str">
            <v>816934</v>
          </cell>
          <cell r="C166">
            <v>36048</v>
          </cell>
          <cell r="D166" t="str">
            <v>APPR</v>
          </cell>
          <cell r="E166">
            <v>25000</v>
          </cell>
          <cell r="F166" t="str">
            <v>TELEPHONE BANKING - FLORIDA</v>
          </cell>
          <cell r="G166" t="str">
            <v>93002</v>
          </cell>
          <cell r="H166">
            <v>8.49</v>
          </cell>
          <cell r="I166" t="str">
            <v>FL</v>
          </cell>
        </row>
        <row r="167">
          <cell r="A167" t="str">
            <v>EQUITY LOAN</v>
          </cell>
          <cell r="B167" t="str">
            <v>816965</v>
          </cell>
          <cell r="C167">
            <v>36048</v>
          </cell>
          <cell r="D167" t="str">
            <v>APPR</v>
          </cell>
          <cell r="E167">
            <v>25000</v>
          </cell>
          <cell r="F167" t="str">
            <v>BIRMINGHAM HOOVER</v>
          </cell>
          <cell r="G167" t="str">
            <v>77011501</v>
          </cell>
          <cell r="H167">
            <v>8.49</v>
          </cell>
          <cell r="I167" t="str">
            <v>AL</v>
          </cell>
        </row>
        <row r="168">
          <cell r="A168" t="str">
            <v>EQUITY LOAN</v>
          </cell>
          <cell r="B168" t="str">
            <v>817318</v>
          </cell>
          <cell r="C168">
            <v>36049</v>
          </cell>
          <cell r="D168" t="str">
            <v>APPR</v>
          </cell>
          <cell r="E168">
            <v>25000</v>
          </cell>
          <cell r="F168" t="str">
            <v>HUNTSVILLE HAYSLAND SQUARE</v>
          </cell>
          <cell r="G168" t="str">
            <v>77038602</v>
          </cell>
          <cell r="H168">
            <v>8.49</v>
          </cell>
          <cell r="I168" t="str">
            <v>AL</v>
          </cell>
        </row>
        <row r="169">
          <cell r="A169" t="str">
            <v>EQUITY LOAN</v>
          </cell>
          <cell r="B169" t="str">
            <v>818433</v>
          </cell>
          <cell r="C169">
            <v>36052</v>
          </cell>
          <cell r="D169" t="str">
            <v>APPR</v>
          </cell>
          <cell r="E169">
            <v>25000</v>
          </cell>
          <cell r="F169" t="str">
            <v>HUNTSVILLE NORTHWEST</v>
          </cell>
          <cell r="G169" t="str">
            <v>77032402</v>
          </cell>
          <cell r="H169">
            <v>8.5</v>
          </cell>
          <cell r="I169" t="str">
            <v>AL</v>
          </cell>
        </row>
        <row r="170">
          <cell r="A170" t="str">
            <v>EQUITY LOAN</v>
          </cell>
          <cell r="B170" t="str">
            <v>820114</v>
          </cell>
          <cell r="C170">
            <v>36056</v>
          </cell>
          <cell r="D170" t="str">
            <v>APPR</v>
          </cell>
          <cell r="E170">
            <v>25000</v>
          </cell>
          <cell r="F170" t="str">
            <v>MOBILE CHICKASAW</v>
          </cell>
          <cell r="G170" t="str">
            <v>77020370</v>
          </cell>
          <cell r="H170">
            <v>8.49</v>
          </cell>
          <cell r="I170" t="str">
            <v>AL</v>
          </cell>
        </row>
        <row r="171">
          <cell r="A171" t="str">
            <v>EQUITY LOAN</v>
          </cell>
          <cell r="B171" t="str">
            <v>802471</v>
          </cell>
          <cell r="C171">
            <v>36017</v>
          </cell>
          <cell r="D171" t="str">
            <v>APPR</v>
          </cell>
          <cell r="E171">
            <v>24000</v>
          </cell>
          <cell r="F171" t="str">
            <v>TELEPHONE BANKING - ALABAMA</v>
          </cell>
          <cell r="G171" t="str">
            <v>93001</v>
          </cell>
          <cell r="H171">
            <v>8.49</v>
          </cell>
          <cell r="I171" t="str">
            <v>AL</v>
          </cell>
        </row>
        <row r="172">
          <cell r="A172" t="str">
            <v>EQUITY LOAN</v>
          </cell>
          <cell r="B172" t="str">
            <v>815763</v>
          </cell>
          <cell r="C172">
            <v>36046</v>
          </cell>
          <cell r="D172" t="str">
            <v>APPR</v>
          </cell>
          <cell r="E172">
            <v>24000</v>
          </cell>
          <cell r="F172" t="str">
            <v>MOBILE EIGHT MILE</v>
          </cell>
          <cell r="G172" t="str">
            <v>77020670</v>
          </cell>
          <cell r="H172">
            <v>8.49</v>
          </cell>
          <cell r="I172" t="str">
            <v>AL</v>
          </cell>
        </row>
        <row r="173">
          <cell r="A173" t="str">
            <v>EQUITY LOAN</v>
          </cell>
          <cell r="B173" t="str">
            <v>801387</v>
          </cell>
          <cell r="C173">
            <v>36014</v>
          </cell>
          <cell r="D173" t="str">
            <v>APPR</v>
          </cell>
          <cell r="E173">
            <v>22000</v>
          </cell>
          <cell r="F173" t="str">
            <v>MOBILE OVERLOOK</v>
          </cell>
          <cell r="G173" t="str">
            <v>77021370</v>
          </cell>
          <cell r="H173">
            <v>9.99</v>
          </cell>
          <cell r="I173" t="str">
            <v>AL</v>
          </cell>
        </row>
        <row r="174">
          <cell r="A174" t="str">
            <v>EQUITY LOAN</v>
          </cell>
          <cell r="B174" t="str">
            <v>819605</v>
          </cell>
          <cell r="C174">
            <v>36055</v>
          </cell>
          <cell r="D174" t="str">
            <v>APPR</v>
          </cell>
          <cell r="E174">
            <v>22000</v>
          </cell>
          <cell r="F174" t="str">
            <v>TELEPHONE BANKING - FLORIDA</v>
          </cell>
          <cell r="G174" t="str">
            <v>93002</v>
          </cell>
          <cell r="H174">
            <v>9.74</v>
          </cell>
          <cell r="I174" t="str">
            <v>FL</v>
          </cell>
        </row>
        <row r="175">
          <cell r="A175" t="str">
            <v>EQUITY LOAN</v>
          </cell>
          <cell r="B175" t="str">
            <v>799511</v>
          </cell>
          <cell r="C175">
            <v>36011</v>
          </cell>
          <cell r="D175" t="str">
            <v>APPR</v>
          </cell>
          <cell r="E175">
            <v>21000</v>
          </cell>
          <cell r="F175" t="str">
            <v>TELEPHONE BANKING - WEB AL</v>
          </cell>
          <cell r="G175" t="str">
            <v>93009</v>
          </cell>
          <cell r="H175">
            <v>8.49</v>
          </cell>
          <cell r="I175" t="str">
            <v>AL</v>
          </cell>
        </row>
        <row r="176">
          <cell r="A176" t="str">
            <v>EQUITY LOAN</v>
          </cell>
          <cell r="B176" t="str">
            <v>815408</v>
          </cell>
          <cell r="C176">
            <v>36046</v>
          </cell>
          <cell r="D176" t="str">
            <v>APPR</v>
          </cell>
          <cell r="E176">
            <v>21000</v>
          </cell>
          <cell r="F176" t="str">
            <v>BIRMINGHAM RIVERCHASE</v>
          </cell>
          <cell r="G176" t="str">
            <v>77010901</v>
          </cell>
          <cell r="H176">
            <v>8.49</v>
          </cell>
          <cell r="I176" t="str">
            <v>AL</v>
          </cell>
        </row>
        <row r="177">
          <cell r="A177" t="str">
            <v>EQUITY LOAN</v>
          </cell>
          <cell r="B177" t="str">
            <v>819541</v>
          </cell>
          <cell r="C177">
            <v>36054</v>
          </cell>
          <cell r="D177" t="str">
            <v>APPR</v>
          </cell>
          <cell r="E177">
            <v>20400</v>
          </cell>
          <cell r="F177" t="str">
            <v>TELEPHONE BANKING - ALABAMA</v>
          </cell>
          <cell r="G177" t="str">
            <v>93001</v>
          </cell>
          <cell r="H177">
            <v>8.49</v>
          </cell>
          <cell r="I177" t="str">
            <v>AL</v>
          </cell>
        </row>
        <row r="178">
          <cell r="A178" t="str">
            <v>EQUITY LOAN</v>
          </cell>
          <cell r="B178" t="str">
            <v>795605</v>
          </cell>
          <cell r="C178">
            <v>36003</v>
          </cell>
          <cell r="D178" t="str">
            <v>APPR</v>
          </cell>
          <cell r="E178">
            <v>20000</v>
          </cell>
          <cell r="F178" t="str">
            <v>MOBILE BEL AIR</v>
          </cell>
          <cell r="G178" t="str">
            <v>77020570</v>
          </cell>
          <cell r="H178">
            <v>8.49</v>
          </cell>
          <cell r="I178" t="str">
            <v>AL</v>
          </cell>
        </row>
        <row r="179">
          <cell r="A179" t="str">
            <v>EQUITY LOAN</v>
          </cell>
          <cell r="B179" t="str">
            <v>798699</v>
          </cell>
          <cell r="C179">
            <v>36010</v>
          </cell>
          <cell r="D179" t="str">
            <v>APPR</v>
          </cell>
          <cell r="E179">
            <v>20000</v>
          </cell>
          <cell r="F179" t="str">
            <v>MOBILE DAUPHIN ISLAND</v>
          </cell>
          <cell r="G179" t="str">
            <v>77020270</v>
          </cell>
          <cell r="H179">
            <v>8.49</v>
          </cell>
          <cell r="I179" t="str">
            <v>AL</v>
          </cell>
        </row>
        <row r="180">
          <cell r="A180" t="str">
            <v>EQUITY LOAN</v>
          </cell>
          <cell r="B180" t="str">
            <v>798711</v>
          </cell>
          <cell r="C180">
            <v>36010</v>
          </cell>
          <cell r="D180" t="str">
            <v>APPR</v>
          </cell>
          <cell r="E180">
            <v>20000</v>
          </cell>
          <cell r="F180" t="str">
            <v>MOBILE DAUPHIN ISLAND</v>
          </cell>
          <cell r="G180" t="str">
            <v>77020270</v>
          </cell>
          <cell r="H180">
            <v>8.49</v>
          </cell>
          <cell r="I180" t="str">
            <v>AL</v>
          </cell>
        </row>
        <row r="181">
          <cell r="A181" t="str">
            <v>EQUITY LOAN</v>
          </cell>
          <cell r="B181" t="str">
            <v>804271</v>
          </cell>
          <cell r="C181">
            <v>36021</v>
          </cell>
          <cell r="D181" t="str">
            <v>APPR</v>
          </cell>
          <cell r="E181">
            <v>20000</v>
          </cell>
          <cell r="F181" t="str">
            <v>BIRMINGHAM MIDFAIR</v>
          </cell>
          <cell r="G181" t="str">
            <v>77010301</v>
          </cell>
          <cell r="H181">
            <v>9.99</v>
          </cell>
          <cell r="I181" t="str">
            <v>AL</v>
          </cell>
        </row>
        <row r="182">
          <cell r="A182" t="str">
            <v>EQUITY LOAN</v>
          </cell>
          <cell r="B182" t="str">
            <v>807614</v>
          </cell>
          <cell r="C182">
            <v>36028</v>
          </cell>
          <cell r="D182" t="str">
            <v>APPR</v>
          </cell>
          <cell r="E182">
            <v>20000</v>
          </cell>
          <cell r="F182" t="str">
            <v>MOBILE GARDEN DISTRICT</v>
          </cell>
          <cell r="G182" t="str">
            <v>77021470</v>
          </cell>
          <cell r="H182">
            <v>8.49</v>
          </cell>
          <cell r="I182" t="str">
            <v>AL</v>
          </cell>
        </row>
        <row r="183">
          <cell r="A183" t="str">
            <v>EQUITY LOAN</v>
          </cell>
          <cell r="B183" t="str">
            <v>807942</v>
          </cell>
          <cell r="C183">
            <v>36028</v>
          </cell>
          <cell r="D183" t="str">
            <v>APPR</v>
          </cell>
          <cell r="E183">
            <v>20000</v>
          </cell>
          <cell r="F183" t="str">
            <v>TELEPHONE BANKING - ALABAMA</v>
          </cell>
          <cell r="G183" t="str">
            <v>93001</v>
          </cell>
          <cell r="H183">
            <v>8.74</v>
          </cell>
          <cell r="I183" t="str">
            <v>AL</v>
          </cell>
        </row>
        <row r="184">
          <cell r="A184" t="str">
            <v>EQUITY LOAN</v>
          </cell>
          <cell r="B184" t="str">
            <v>810282</v>
          </cell>
          <cell r="C184">
            <v>36033</v>
          </cell>
          <cell r="D184" t="str">
            <v>APPR</v>
          </cell>
          <cell r="E184">
            <v>20000</v>
          </cell>
          <cell r="F184" t="str">
            <v>MOBILE DAUPHIN ISLAND</v>
          </cell>
          <cell r="G184" t="str">
            <v>77020270</v>
          </cell>
          <cell r="H184">
            <v>8.99</v>
          </cell>
          <cell r="I184" t="str">
            <v>AL</v>
          </cell>
        </row>
        <row r="185">
          <cell r="A185" t="str">
            <v>EQUITY LOAN</v>
          </cell>
          <cell r="B185" t="str">
            <v>812533</v>
          </cell>
          <cell r="C185">
            <v>36039</v>
          </cell>
          <cell r="D185" t="str">
            <v>APPR</v>
          </cell>
          <cell r="E185">
            <v>20000</v>
          </cell>
          <cell r="F185" t="str">
            <v>MOBILE GARDEN DISTRICT</v>
          </cell>
          <cell r="G185" t="str">
            <v>77021470</v>
          </cell>
          <cell r="H185">
            <v>8.49</v>
          </cell>
          <cell r="I185" t="str">
            <v>AL</v>
          </cell>
        </row>
        <row r="186">
          <cell r="A186" t="str">
            <v>EQUITY LOAN</v>
          </cell>
          <cell r="B186" t="str">
            <v>812686</v>
          </cell>
          <cell r="C186">
            <v>36039</v>
          </cell>
          <cell r="D186" t="str">
            <v>APPR</v>
          </cell>
          <cell r="E186">
            <v>20000</v>
          </cell>
          <cell r="F186" t="str">
            <v>MOBILE GARDEN DISTRICT</v>
          </cell>
          <cell r="G186" t="str">
            <v>77021470</v>
          </cell>
          <cell r="H186">
            <v>8.49</v>
          </cell>
          <cell r="I186" t="str">
            <v>AL</v>
          </cell>
        </row>
        <row r="187">
          <cell r="A187" t="str">
            <v>EQUITY LOAN</v>
          </cell>
          <cell r="B187" t="str">
            <v>813460</v>
          </cell>
          <cell r="C187">
            <v>36040</v>
          </cell>
          <cell r="D187" t="str">
            <v>APPR</v>
          </cell>
          <cell r="E187">
            <v>20000</v>
          </cell>
          <cell r="F187" t="str">
            <v>HUNTSVILLE GOVERNOR'S DRIVE</v>
          </cell>
          <cell r="G187" t="str">
            <v>77032302</v>
          </cell>
          <cell r="H187">
            <v>8.49</v>
          </cell>
          <cell r="I187" t="str">
            <v>AL</v>
          </cell>
        </row>
        <row r="188">
          <cell r="A188" t="str">
            <v>EQUITY LOAN</v>
          </cell>
          <cell r="B188" t="str">
            <v>814378</v>
          </cell>
          <cell r="C188">
            <v>36042</v>
          </cell>
          <cell r="D188" t="str">
            <v>APPR</v>
          </cell>
          <cell r="E188">
            <v>20000</v>
          </cell>
          <cell r="F188" t="str">
            <v>JACKSONVILLE MIDDLEBURG</v>
          </cell>
          <cell r="G188" t="str">
            <v>65066066</v>
          </cell>
          <cell r="H188">
            <v>8.74</v>
          </cell>
          <cell r="I188" t="str">
            <v>FL</v>
          </cell>
        </row>
        <row r="189">
          <cell r="A189" t="str">
            <v>EQUITY LOAN</v>
          </cell>
          <cell r="B189" t="str">
            <v>815523</v>
          </cell>
          <cell r="C189">
            <v>36046</v>
          </cell>
          <cell r="D189" t="str">
            <v>APPR</v>
          </cell>
          <cell r="E189">
            <v>20000</v>
          </cell>
          <cell r="F189" t="str">
            <v>MOBILE GARDEN DISTRICT</v>
          </cell>
          <cell r="G189" t="str">
            <v>77021470</v>
          </cell>
          <cell r="H189">
            <v>8.49</v>
          </cell>
          <cell r="I189" t="str">
            <v>AL</v>
          </cell>
        </row>
        <row r="190">
          <cell r="A190" t="str">
            <v>EQUITY LOAN</v>
          </cell>
          <cell r="B190" t="str">
            <v>815634</v>
          </cell>
          <cell r="C190">
            <v>36046</v>
          </cell>
          <cell r="D190" t="str">
            <v>APPR</v>
          </cell>
          <cell r="E190">
            <v>20000</v>
          </cell>
          <cell r="F190" t="str">
            <v>MOBILE SKYLINE</v>
          </cell>
          <cell r="G190" t="str">
            <v>77021570</v>
          </cell>
          <cell r="H190">
            <v>8.74</v>
          </cell>
          <cell r="I190" t="str">
            <v>AL</v>
          </cell>
        </row>
        <row r="191">
          <cell r="A191" t="str">
            <v>EQUITY LOAN</v>
          </cell>
          <cell r="B191" t="str">
            <v>815915</v>
          </cell>
          <cell r="C191">
            <v>36047</v>
          </cell>
          <cell r="D191" t="str">
            <v>APPR</v>
          </cell>
          <cell r="E191">
            <v>20000</v>
          </cell>
          <cell r="F191" t="str">
            <v>TELEPHONE BANKING - ALABAMA</v>
          </cell>
          <cell r="G191" t="str">
            <v>93001</v>
          </cell>
          <cell r="H191">
            <v>9.5</v>
          </cell>
          <cell r="I191" t="str">
            <v>AL</v>
          </cell>
        </row>
        <row r="192">
          <cell r="A192" t="str">
            <v>EQUITY LOAN</v>
          </cell>
          <cell r="B192" t="str">
            <v>816664</v>
          </cell>
          <cell r="C192">
            <v>36048</v>
          </cell>
          <cell r="D192" t="str">
            <v>APPR</v>
          </cell>
          <cell r="E192">
            <v>20000</v>
          </cell>
          <cell r="F192" t="str">
            <v>MOBILE BEL AIR</v>
          </cell>
          <cell r="G192" t="str">
            <v>77020570</v>
          </cell>
          <cell r="H192">
            <v>9.49</v>
          </cell>
          <cell r="I192" t="str">
            <v>AL</v>
          </cell>
        </row>
        <row r="193">
          <cell r="A193" t="str">
            <v>EQUITY LOAN</v>
          </cell>
          <cell r="B193" t="str">
            <v>817106</v>
          </cell>
          <cell r="C193">
            <v>36049</v>
          </cell>
          <cell r="D193" t="str">
            <v>APPR</v>
          </cell>
          <cell r="E193">
            <v>20000</v>
          </cell>
          <cell r="F193" t="str">
            <v>MOBILE EIGHT MILE</v>
          </cell>
          <cell r="G193" t="str">
            <v>77020670</v>
          </cell>
          <cell r="H193">
            <v>8.74</v>
          </cell>
          <cell r="I193" t="str">
            <v>AL</v>
          </cell>
        </row>
        <row r="194">
          <cell r="A194" t="str">
            <v>EQUITY LOAN</v>
          </cell>
          <cell r="B194" t="str">
            <v>819436</v>
          </cell>
          <cell r="C194">
            <v>36054</v>
          </cell>
          <cell r="D194" t="str">
            <v>APPR</v>
          </cell>
          <cell r="E194">
            <v>20000</v>
          </cell>
          <cell r="F194" t="str">
            <v>TELEPHONE BANKING - ALABAMA</v>
          </cell>
          <cell r="G194" t="str">
            <v>93001</v>
          </cell>
          <cell r="H194">
            <v>8.49</v>
          </cell>
          <cell r="I194" t="str">
            <v>AL</v>
          </cell>
        </row>
        <row r="195">
          <cell r="A195" t="str">
            <v>EQUITY LOAN</v>
          </cell>
          <cell r="B195" t="str">
            <v>819743</v>
          </cell>
          <cell r="C195">
            <v>36055</v>
          </cell>
          <cell r="D195" t="str">
            <v>APPR</v>
          </cell>
          <cell r="E195">
            <v>20000</v>
          </cell>
          <cell r="F195" t="str">
            <v>TELEPHONE BANKING - ALABAMA</v>
          </cell>
          <cell r="G195" t="str">
            <v>93001</v>
          </cell>
          <cell r="H195">
            <v>12</v>
          </cell>
          <cell r="I195" t="str">
            <v>AL</v>
          </cell>
        </row>
        <row r="196">
          <cell r="A196" t="str">
            <v>EQUITY LOAN</v>
          </cell>
          <cell r="B196" t="str">
            <v>820133</v>
          </cell>
          <cell r="C196">
            <v>36056</v>
          </cell>
          <cell r="D196" t="str">
            <v>APPR</v>
          </cell>
          <cell r="E196">
            <v>20000</v>
          </cell>
          <cell r="F196" t="str">
            <v>MONTGOMERY DOWNTOWN</v>
          </cell>
          <cell r="G196" t="str">
            <v>77040330</v>
          </cell>
          <cell r="H196">
            <v>8.49</v>
          </cell>
          <cell r="I196" t="str">
            <v>AL</v>
          </cell>
        </row>
        <row r="197">
          <cell r="A197" t="str">
            <v>EQUITY LOAN</v>
          </cell>
          <cell r="B197" t="str">
            <v>803664</v>
          </cell>
          <cell r="C197">
            <v>36019</v>
          </cell>
          <cell r="D197" t="str">
            <v>CNTR</v>
          </cell>
          <cell r="E197">
            <v>39800</v>
          </cell>
          <cell r="F197" t="str">
            <v>MOBILE CLOVERLEAF</v>
          </cell>
          <cell r="G197" t="str">
            <v>77021170</v>
          </cell>
          <cell r="H197">
            <v>8.49</v>
          </cell>
          <cell r="I197" t="str">
            <v>AL</v>
          </cell>
        </row>
        <row r="198">
          <cell r="A198" t="str">
            <v>EQUITY LOAN</v>
          </cell>
          <cell r="B198" t="str">
            <v>799757</v>
          </cell>
          <cell r="C198">
            <v>36011</v>
          </cell>
          <cell r="D198" t="str">
            <v>CNTR</v>
          </cell>
          <cell r="E198">
            <v>35300</v>
          </cell>
          <cell r="F198" t="str">
            <v>TELEPHONE BANKING - WEB AL</v>
          </cell>
          <cell r="G198" t="str">
            <v>93009</v>
          </cell>
          <cell r="H198">
            <v>7.99</v>
          </cell>
          <cell r="I198" t="str">
            <v>AL</v>
          </cell>
        </row>
        <row r="199">
          <cell r="A199" t="str">
            <v>EQUITY LOAN</v>
          </cell>
          <cell r="B199" t="str">
            <v>816346</v>
          </cell>
          <cell r="C199">
            <v>36047</v>
          </cell>
          <cell r="D199" t="str">
            <v>CNTR</v>
          </cell>
          <cell r="E199">
            <v>35000</v>
          </cell>
          <cell r="F199" t="str">
            <v>HUNTSVILLE GOVERNOR'S DRIVE</v>
          </cell>
          <cell r="G199" t="str">
            <v>77032302</v>
          </cell>
          <cell r="H199">
            <v>8.99</v>
          </cell>
          <cell r="I199" t="str">
            <v>AL</v>
          </cell>
        </row>
        <row r="200">
          <cell r="A200" t="str">
            <v>EQUITY LOAN</v>
          </cell>
          <cell r="B200" t="str">
            <v>794925</v>
          </cell>
          <cell r="C200">
            <v>36000</v>
          </cell>
          <cell r="D200" t="str">
            <v>CNTR</v>
          </cell>
          <cell r="E200">
            <v>30000</v>
          </cell>
          <cell r="F200" t="str">
            <v>MOBILE REGENCY</v>
          </cell>
          <cell r="G200" t="str">
            <v>77020170</v>
          </cell>
          <cell r="H200">
            <v>8.74</v>
          </cell>
          <cell r="I200" t="str">
            <v>AL</v>
          </cell>
        </row>
        <row r="201">
          <cell r="A201" t="str">
            <v>EQUITY LOAN</v>
          </cell>
          <cell r="B201" t="str">
            <v>813468</v>
          </cell>
          <cell r="C201">
            <v>36040</v>
          </cell>
          <cell r="D201" t="str">
            <v>CNTR</v>
          </cell>
          <cell r="E201">
            <v>30000</v>
          </cell>
          <cell r="F201" t="str">
            <v>JACKSONVILLE PONTE VEDRA</v>
          </cell>
          <cell r="G201" t="str">
            <v>65062065</v>
          </cell>
          <cell r="H201">
            <v>8.49</v>
          </cell>
          <cell r="I201" t="str">
            <v>FL</v>
          </cell>
        </row>
        <row r="202">
          <cell r="A202" t="str">
            <v>EQUITY LOAN</v>
          </cell>
          <cell r="B202" t="str">
            <v>795759</v>
          </cell>
          <cell r="C202">
            <v>36003</v>
          </cell>
          <cell r="D202" t="str">
            <v>CNTR</v>
          </cell>
          <cell r="E202">
            <v>29000</v>
          </cell>
          <cell r="F202" t="str">
            <v>BIRMINGHAM WILDWOOD</v>
          </cell>
          <cell r="G202" t="str">
            <v>77013401</v>
          </cell>
          <cell r="H202">
            <v>8.49</v>
          </cell>
          <cell r="I202" t="str">
            <v>AL</v>
          </cell>
        </row>
        <row r="203">
          <cell r="A203" t="str">
            <v>EQUITY LOAN</v>
          </cell>
          <cell r="B203" t="str">
            <v>819896</v>
          </cell>
          <cell r="C203">
            <v>36055</v>
          </cell>
          <cell r="D203" t="str">
            <v>CNTR</v>
          </cell>
          <cell r="E203">
            <v>28600</v>
          </cell>
          <cell r="F203" t="str">
            <v>TELEPHONE BANKING - ALABAMA</v>
          </cell>
          <cell r="G203" t="str">
            <v>93001</v>
          </cell>
          <cell r="H203">
            <v>8.49</v>
          </cell>
          <cell r="I203" t="str">
            <v>AL</v>
          </cell>
        </row>
        <row r="204">
          <cell r="A204" t="str">
            <v>EQUITY LOAN</v>
          </cell>
          <cell r="B204" t="str">
            <v>815517</v>
          </cell>
          <cell r="C204">
            <v>36046</v>
          </cell>
          <cell r="D204" t="str">
            <v>CNTR</v>
          </cell>
          <cell r="E204">
            <v>27309</v>
          </cell>
          <cell r="F204" t="str">
            <v>MOBILE SKYLINE</v>
          </cell>
          <cell r="G204" t="str">
            <v>77021570</v>
          </cell>
          <cell r="H204">
            <v>8.24</v>
          </cell>
          <cell r="I204" t="str">
            <v>AL</v>
          </cell>
        </row>
        <row r="205">
          <cell r="A205" t="str">
            <v>EQUITY LOAN</v>
          </cell>
          <cell r="B205" t="str">
            <v>818457</v>
          </cell>
          <cell r="C205">
            <v>36052</v>
          </cell>
          <cell r="D205" t="str">
            <v>CNTR</v>
          </cell>
          <cell r="E205">
            <v>26690</v>
          </cell>
          <cell r="F205" t="str">
            <v>MOBILE SKYLINE</v>
          </cell>
          <cell r="G205" t="str">
            <v>77021570</v>
          </cell>
          <cell r="H205">
            <v>8.49</v>
          </cell>
          <cell r="I205" t="str">
            <v>AL</v>
          </cell>
        </row>
        <row r="206">
          <cell r="A206" t="str">
            <v>EQUITY LOAN</v>
          </cell>
          <cell r="B206" t="str">
            <v>818684</v>
          </cell>
          <cell r="C206">
            <v>36053</v>
          </cell>
          <cell r="D206" t="str">
            <v>CNTR</v>
          </cell>
          <cell r="E206">
            <v>25000</v>
          </cell>
          <cell r="F206" t="str">
            <v>FORT WALTON RACETRACK</v>
          </cell>
          <cell r="G206" t="str">
            <v>65065265</v>
          </cell>
          <cell r="H206">
            <v>8.5</v>
          </cell>
          <cell r="I206" t="str">
            <v>FL</v>
          </cell>
        </row>
        <row r="207">
          <cell r="A207" t="str">
            <v>EQUITY LOAN</v>
          </cell>
          <cell r="B207" t="str">
            <v>798804</v>
          </cell>
          <cell r="C207">
            <v>36010</v>
          </cell>
          <cell r="D207" t="str">
            <v>CNTR</v>
          </cell>
          <cell r="E207">
            <v>21300</v>
          </cell>
          <cell r="F207" t="str">
            <v>JACKSONVILLE EDGEWOOD</v>
          </cell>
          <cell r="G207" t="str">
            <v>65067266</v>
          </cell>
          <cell r="H207">
            <v>8.49</v>
          </cell>
          <cell r="I207" t="str">
            <v>FL</v>
          </cell>
        </row>
        <row r="208">
          <cell r="A208" t="str">
            <v>EQUITY LOAN</v>
          </cell>
          <cell r="B208" t="str">
            <v>795583</v>
          </cell>
          <cell r="C208">
            <v>36003</v>
          </cell>
          <cell r="D208" t="str">
            <v>CNTR</v>
          </cell>
          <cell r="E208">
            <v>20923</v>
          </cell>
          <cell r="F208" t="str">
            <v>MONTGOMERY DOWNTOWN</v>
          </cell>
          <cell r="G208" t="str">
            <v>77040330</v>
          </cell>
          <cell r="H208">
            <v>7.75</v>
          </cell>
          <cell r="I208" t="str">
            <v>AL</v>
          </cell>
        </row>
        <row r="209">
          <cell r="A209" t="str">
            <v>EQUITY LOAN</v>
          </cell>
          <cell r="B209" t="str">
            <v>797042</v>
          </cell>
          <cell r="C209">
            <v>36005</v>
          </cell>
          <cell r="D209" t="str">
            <v>CNTR</v>
          </cell>
          <cell r="E209">
            <v>20000</v>
          </cell>
          <cell r="F209" t="str">
            <v>JACKSONVILLE PONTE VEDRA</v>
          </cell>
          <cell r="G209" t="str">
            <v>65062065</v>
          </cell>
          <cell r="H209">
            <v>8.49</v>
          </cell>
          <cell r="I209" t="str">
            <v>FL</v>
          </cell>
        </row>
        <row r="210">
          <cell r="E210">
            <v>2049422</v>
          </cell>
          <cell r="F210">
            <v>78</v>
          </cell>
        </row>
        <row r="211">
          <cell r="F211">
            <v>26274.641025641027</v>
          </cell>
        </row>
        <row r="213">
          <cell r="A213" t="str">
            <v>EQUITY LOAN</v>
          </cell>
          <cell r="B213" t="str">
            <v>802162</v>
          </cell>
          <cell r="C213">
            <v>36017</v>
          </cell>
          <cell r="D213" t="str">
            <v>APPR</v>
          </cell>
          <cell r="E213">
            <v>18000</v>
          </cell>
          <cell r="F213" t="str">
            <v>BIRMINGHAM ROEBUCK</v>
          </cell>
          <cell r="G213" t="str">
            <v>77010401</v>
          </cell>
          <cell r="H213">
            <v>9.99</v>
          </cell>
          <cell r="I213" t="str">
            <v>AL</v>
          </cell>
        </row>
        <row r="214">
          <cell r="A214" t="str">
            <v>EQUITY LOAN</v>
          </cell>
          <cell r="B214" t="str">
            <v>807157</v>
          </cell>
          <cell r="C214">
            <v>36027</v>
          </cell>
          <cell r="D214" t="str">
            <v>APPR</v>
          </cell>
          <cell r="E214">
            <v>17000</v>
          </cell>
          <cell r="F214" t="str">
            <v>TELEPHONE BANKING - ALABAMA</v>
          </cell>
          <cell r="G214" t="str">
            <v>93001</v>
          </cell>
          <cell r="H214">
            <v>9.99</v>
          </cell>
          <cell r="I214" t="str">
            <v>AL</v>
          </cell>
        </row>
        <row r="215">
          <cell r="A215" t="str">
            <v>EQUITY LOAN</v>
          </cell>
          <cell r="B215" t="str">
            <v>794408</v>
          </cell>
          <cell r="C215">
            <v>36000</v>
          </cell>
          <cell r="D215" t="str">
            <v>APPR</v>
          </cell>
          <cell r="E215">
            <v>16000</v>
          </cell>
          <cell r="F215" t="str">
            <v>TELEPHONE BANKING - ALABAMA</v>
          </cell>
          <cell r="G215" t="str">
            <v>93001</v>
          </cell>
          <cell r="H215">
            <v>10.24</v>
          </cell>
          <cell r="I215" t="str">
            <v>AL</v>
          </cell>
        </row>
        <row r="216">
          <cell r="A216" t="str">
            <v>EQUITY LOAN</v>
          </cell>
          <cell r="B216" t="str">
            <v>795527</v>
          </cell>
          <cell r="C216">
            <v>36003</v>
          </cell>
          <cell r="D216" t="str">
            <v>APPR</v>
          </cell>
          <cell r="E216">
            <v>15000</v>
          </cell>
          <cell r="F216" t="str">
            <v>MONTGOMERY NORMANDALE</v>
          </cell>
          <cell r="G216" t="str">
            <v>77040430</v>
          </cell>
          <cell r="H216">
            <v>9.99</v>
          </cell>
          <cell r="I216" t="str">
            <v>AL</v>
          </cell>
        </row>
        <row r="217">
          <cell r="A217" t="str">
            <v>EQUITY LOAN</v>
          </cell>
          <cell r="B217" t="str">
            <v>799901</v>
          </cell>
          <cell r="C217">
            <v>36012</v>
          </cell>
          <cell r="D217" t="str">
            <v>APPR</v>
          </cell>
          <cell r="E217">
            <v>15000</v>
          </cell>
          <cell r="F217" t="str">
            <v>MOBILE CHICKASAW</v>
          </cell>
          <cell r="G217" t="str">
            <v>77020370</v>
          </cell>
          <cell r="H217">
            <v>9.99</v>
          </cell>
          <cell r="I217" t="str">
            <v>AL</v>
          </cell>
        </row>
        <row r="218">
          <cell r="A218" t="str">
            <v>EQUITY LOAN</v>
          </cell>
          <cell r="B218" t="str">
            <v>804233</v>
          </cell>
          <cell r="C218">
            <v>36020</v>
          </cell>
          <cell r="D218" t="str">
            <v>APPR</v>
          </cell>
          <cell r="E218">
            <v>15000</v>
          </cell>
          <cell r="F218" t="str">
            <v>BIRMINGHAM UAB</v>
          </cell>
          <cell r="G218" t="str">
            <v>77000101</v>
          </cell>
          <cell r="H218">
            <v>9.99</v>
          </cell>
          <cell r="I218" t="str">
            <v>AL</v>
          </cell>
        </row>
        <row r="219">
          <cell r="A219" t="str">
            <v>EQUITY LOAN</v>
          </cell>
          <cell r="B219" t="str">
            <v>815806</v>
          </cell>
          <cell r="C219">
            <v>36046</v>
          </cell>
          <cell r="D219" t="str">
            <v>APPR</v>
          </cell>
          <cell r="E219">
            <v>15000</v>
          </cell>
          <cell r="F219" t="str">
            <v>BIRMINGHAM MIDFAIR</v>
          </cell>
          <cell r="G219" t="str">
            <v>77010301</v>
          </cell>
          <cell r="H219">
            <v>10.24</v>
          </cell>
          <cell r="I219" t="str">
            <v>AL</v>
          </cell>
        </row>
        <row r="220">
          <cell r="A220" t="str">
            <v>EQUITY LOAN</v>
          </cell>
          <cell r="B220" t="str">
            <v>816420</v>
          </cell>
          <cell r="C220">
            <v>36047</v>
          </cell>
          <cell r="D220" t="str">
            <v>APPR</v>
          </cell>
          <cell r="E220">
            <v>15000</v>
          </cell>
          <cell r="F220" t="str">
            <v>MOBILE EIGHT MILE</v>
          </cell>
          <cell r="G220" t="str">
            <v>77020670</v>
          </cell>
          <cell r="H220">
            <v>9.99</v>
          </cell>
          <cell r="I220" t="str">
            <v>AL</v>
          </cell>
        </row>
        <row r="221">
          <cell r="A221" t="str">
            <v>EQUITY LOAN</v>
          </cell>
          <cell r="B221" t="str">
            <v>816433</v>
          </cell>
          <cell r="C221">
            <v>36047</v>
          </cell>
          <cell r="D221" t="str">
            <v>APPR</v>
          </cell>
          <cell r="E221">
            <v>15000</v>
          </cell>
          <cell r="F221" t="str">
            <v>TELEPHONE BANKING - ALABAMA</v>
          </cell>
          <cell r="G221" t="str">
            <v>93001</v>
          </cell>
          <cell r="H221">
            <v>9.99</v>
          </cell>
          <cell r="I221" t="str">
            <v>AL</v>
          </cell>
        </row>
        <row r="222">
          <cell r="A222" t="str">
            <v>EQUITY LOAN</v>
          </cell>
          <cell r="B222" t="str">
            <v>816654</v>
          </cell>
          <cell r="C222">
            <v>36048</v>
          </cell>
          <cell r="D222" t="str">
            <v>APPR</v>
          </cell>
          <cell r="E222">
            <v>15000</v>
          </cell>
          <cell r="F222" t="str">
            <v>TELEPHONE BANKING - ALABAMA</v>
          </cell>
          <cell r="G222" t="str">
            <v>93001</v>
          </cell>
          <cell r="H222">
            <v>9.99</v>
          </cell>
          <cell r="I222" t="str">
            <v>AL</v>
          </cell>
        </row>
        <row r="223">
          <cell r="A223" t="str">
            <v>EQUITY LOAN</v>
          </cell>
          <cell r="B223" t="str">
            <v>817261</v>
          </cell>
          <cell r="C223">
            <v>36049</v>
          </cell>
          <cell r="D223" t="str">
            <v>APPR</v>
          </cell>
          <cell r="E223">
            <v>15000</v>
          </cell>
          <cell r="F223" t="str">
            <v>TELEPHONE BANKING - ALABAMA</v>
          </cell>
          <cell r="G223" t="str">
            <v>93001</v>
          </cell>
          <cell r="H223">
            <v>9.99</v>
          </cell>
          <cell r="I223" t="str">
            <v>AL</v>
          </cell>
        </row>
        <row r="224">
          <cell r="A224" t="str">
            <v>EQUITY LOAN</v>
          </cell>
          <cell r="B224" t="str">
            <v>817960</v>
          </cell>
          <cell r="C224">
            <v>36052</v>
          </cell>
          <cell r="D224" t="str">
            <v>APPR</v>
          </cell>
          <cell r="E224">
            <v>15000</v>
          </cell>
          <cell r="F224" t="str">
            <v>MOBILE GARDEN DISTRICT</v>
          </cell>
          <cell r="G224" t="str">
            <v>77021470</v>
          </cell>
          <cell r="H224">
            <v>9.99</v>
          </cell>
          <cell r="I224" t="str">
            <v>AL</v>
          </cell>
        </row>
        <row r="225">
          <cell r="A225" t="str">
            <v>EQUITY LOAN</v>
          </cell>
          <cell r="B225" t="str">
            <v>811099</v>
          </cell>
          <cell r="C225">
            <v>36035</v>
          </cell>
          <cell r="D225" t="str">
            <v>APPR</v>
          </cell>
          <cell r="E225">
            <v>12300</v>
          </cell>
          <cell r="F225" t="str">
            <v>MOBILE EIGHT MILE</v>
          </cell>
          <cell r="G225" t="str">
            <v>77020670</v>
          </cell>
          <cell r="H225">
            <v>10.24</v>
          </cell>
          <cell r="I225" t="str">
            <v>AL</v>
          </cell>
        </row>
        <row r="226">
          <cell r="A226" t="str">
            <v>EQUITY LOAN</v>
          </cell>
          <cell r="B226" t="str">
            <v>818670</v>
          </cell>
          <cell r="C226">
            <v>36053</v>
          </cell>
          <cell r="D226" t="str">
            <v>APPR</v>
          </cell>
          <cell r="E226">
            <v>11000</v>
          </cell>
          <cell r="F226" t="str">
            <v>JACKSONVILLE EDGEWOOD</v>
          </cell>
          <cell r="G226" t="str">
            <v>65067266</v>
          </cell>
          <cell r="H226">
            <v>9.99</v>
          </cell>
          <cell r="I226" t="str">
            <v>FL</v>
          </cell>
        </row>
        <row r="227">
          <cell r="A227" t="str">
            <v>EQUITY LOAN</v>
          </cell>
          <cell r="B227" t="str">
            <v>818078</v>
          </cell>
          <cell r="C227">
            <v>36052</v>
          </cell>
          <cell r="D227" t="str">
            <v>APPR</v>
          </cell>
          <cell r="E227">
            <v>10500</v>
          </cell>
          <cell r="F227" t="str">
            <v>MONTGOMERY NORMANDALE</v>
          </cell>
          <cell r="G227" t="str">
            <v>77040430</v>
          </cell>
          <cell r="H227">
            <v>9.99</v>
          </cell>
          <cell r="I227" t="str">
            <v>AL</v>
          </cell>
        </row>
        <row r="228">
          <cell r="A228" t="str">
            <v>EQUITY LOAN</v>
          </cell>
          <cell r="B228" t="str">
            <v>795592</v>
          </cell>
          <cell r="C228">
            <v>36003</v>
          </cell>
          <cell r="D228" t="str">
            <v>APPR</v>
          </cell>
          <cell r="E228">
            <v>10000</v>
          </cell>
          <cell r="F228" t="str">
            <v>JACKSONVILLE BEACH</v>
          </cell>
          <cell r="G228" t="str">
            <v>65067166</v>
          </cell>
          <cell r="H228">
            <v>9.99</v>
          </cell>
          <cell r="I228" t="str">
            <v>FL</v>
          </cell>
        </row>
        <row r="229">
          <cell r="A229" t="str">
            <v>EQUITY LOAN</v>
          </cell>
          <cell r="B229" t="str">
            <v>795769</v>
          </cell>
          <cell r="C229">
            <v>36003</v>
          </cell>
          <cell r="D229" t="str">
            <v>APPR</v>
          </cell>
          <cell r="E229">
            <v>10000</v>
          </cell>
          <cell r="F229" t="str">
            <v>MOBILE SKYLINE</v>
          </cell>
          <cell r="G229" t="str">
            <v>77021570</v>
          </cell>
          <cell r="H229">
            <v>9.99</v>
          </cell>
          <cell r="I229" t="str">
            <v>AL</v>
          </cell>
        </row>
        <row r="230">
          <cell r="A230" t="str">
            <v>EQUITY LOAN</v>
          </cell>
          <cell r="B230" t="str">
            <v>800047</v>
          </cell>
          <cell r="C230">
            <v>36012</v>
          </cell>
          <cell r="D230" t="str">
            <v>APPR</v>
          </cell>
          <cell r="E230">
            <v>10000</v>
          </cell>
          <cell r="F230" t="str">
            <v>TELEPHONE BANKING - ALABAMA</v>
          </cell>
          <cell r="G230" t="str">
            <v>93001</v>
          </cell>
          <cell r="H230">
            <v>9.99</v>
          </cell>
          <cell r="I230" t="str">
            <v>AL</v>
          </cell>
        </row>
        <row r="231">
          <cell r="A231" t="str">
            <v>EQUITY LOAN</v>
          </cell>
          <cell r="B231" t="str">
            <v>809640</v>
          </cell>
          <cell r="C231">
            <v>36032</v>
          </cell>
          <cell r="D231" t="str">
            <v>APPR</v>
          </cell>
          <cell r="E231">
            <v>10000</v>
          </cell>
          <cell r="F231" t="str">
            <v>BIRMINGHAM BROOKWOOD</v>
          </cell>
          <cell r="G231" t="str">
            <v>77010601</v>
          </cell>
          <cell r="H231">
            <v>10.99</v>
          </cell>
          <cell r="I231" t="str">
            <v>AL</v>
          </cell>
        </row>
        <row r="232">
          <cell r="A232" t="str">
            <v>EQUITY LOAN</v>
          </cell>
          <cell r="B232" t="str">
            <v>812497</v>
          </cell>
          <cell r="C232">
            <v>36039</v>
          </cell>
          <cell r="D232" t="str">
            <v>APPR</v>
          </cell>
          <cell r="E232">
            <v>10000</v>
          </cell>
          <cell r="F232" t="str">
            <v>BIRMINGHAM MIDTOWN</v>
          </cell>
          <cell r="G232" t="str">
            <v>77013601</v>
          </cell>
          <cell r="H232">
            <v>9.99</v>
          </cell>
          <cell r="I232" t="str">
            <v>AL</v>
          </cell>
        </row>
        <row r="233">
          <cell r="A233" t="str">
            <v>EQUITY LOAN</v>
          </cell>
          <cell r="B233" t="str">
            <v>814700</v>
          </cell>
          <cell r="C233">
            <v>36042</v>
          </cell>
          <cell r="D233" t="str">
            <v>APPR</v>
          </cell>
          <cell r="E233">
            <v>10000</v>
          </cell>
          <cell r="F233" t="str">
            <v>MOBILE REGENCY</v>
          </cell>
          <cell r="G233" t="str">
            <v>77020170</v>
          </cell>
          <cell r="H233">
            <v>11.24</v>
          </cell>
          <cell r="I233" t="str">
            <v>AL</v>
          </cell>
        </row>
        <row r="234">
          <cell r="A234" t="str">
            <v>EQUITY LOAN</v>
          </cell>
          <cell r="B234" t="str">
            <v>816043</v>
          </cell>
          <cell r="C234">
            <v>36047</v>
          </cell>
          <cell r="D234" t="str">
            <v>APPR</v>
          </cell>
          <cell r="E234">
            <v>10000</v>
          </cell>
          <cell r="F234" t="str">
            <v>MONTGOMERY NORMANDALE</v>
          </cell>
          <cell r="G234" t="str">
            <v>77040430</v>
          </cell>
          <cell r="H234">
            <v>9.99</v>
          </cell>
          <cell r="I234" t="str">
            <v>AL</v>
          </cell>
        </row>
        <row r="235">
          <cell r="A235" t="str">
            <v>EQUITY LOAN</v>
          </cell>
          <cell r="B235" t="str">
            <v>816111</v>
          </cell>
          <cell r="C235">
            <v>36047</v>
          </cell>
          <cell r="D235" t="str">
            <v>APPR</v>
          </cell>
          <cell r="E235">
            <v>10000</v>
          </cell>
          <cell r="F235" t="str">
            <v>ALBERTVILLE MAIN</v>
          </cell>
          <cell r="G235" t="str">
            <v>77030002</v>
          </cell>
          <cell r="H235">
            <v>10.24</v>
          </cell>
          <cell r="I235" t="str">
            <v>AL</v>
          </cell>
        </row>
        <row r="236">
          <cell r="A236" t="str">
            <v>EQUITY LOAN</v>
          </cell>
          <cell r="B236" t="str">
            <v>818089</v>
          </cell>
          <cell r="C236">
            <v>36052</v>
          </cell>
          <cell r="D236" t="str">
            <v>APPR</v>
          </cell>
          <cell r="E236">
            <v>10000</v>
          </cell>
          <cell r="F236" t="str">
            <v>MOBILE CHICKASAW</v>
          </cell>
          <cell r="G236" t="str">
            <v>77020370</v>
          </cell>
          <cell r="H236">
            <v>9.99</v>
          </cell>
          <cell r="I236" t="str">
            <v>AL</v>
          </cell>
        </row>
        <row r="237">
          <cell r="A237" t="str">
            <v>EQUITY LOAN</v>
          </cell>
          <cell r="B237" t="str">
            <v>818371</v>
          </cell>
          <cell r="C237">
            <v>36052</v>
          </cell>
          <cell r="D237" t="str">
            <v>CNTR</v>
          </cell>
          <cell r="E237">
            <v>19000</v>
          </cell>
          <cell r="F237" t="str">
            <v>JACKSONVILLE ARGYLE</v>
          </cell>
          <cell r="G237" t="str">
            <v>65065766</v>
          </cell>
          <cell r="H237">
            <v>9.99</v>
          </cell>
          <cell r="I237" t="str">
            <v>FL</v>
          </cell>
        </row>
        <row r="238">
          <cell r="A238" t="str">
            <v>EQUITY LOAN</v>
          </cell>
          <cell r="B238" t="str">
            <v>820112</v>
          </cell>
          <cell r="C238">
            <v>36056</v>
          </cell>
          <cell r="D238" t="str">
            <v>CNTR</v>
          </cell>
          <cell r="E238">
            <v>18000</v>
          </cell>
          <cell r="F238" t="str">
            <v>MOBILE CLOVERLEAF</v>
          </cell>
          <cell r="G238" t="str">
            <v>77021170</v>
          </cell>
          <cell r="H238">
            <v>10.24</v>
          </cell>
          <cell r="I238" t="str">
            <v>AL</v>
          </cell>
        </row>
        <row r="239">
          <cell r="A239" t="str">
            <v>EQUITY LOAN</v>
          </cell>
          <cell r="B239" t="str">
            <v>807282</v>
          </cell>
          <cell r="C239">
            <v>36027</v>
          </cell>
          <cell r="D239" t="str">
            <v>CNTR</v>
          </cell>
          <cell r="E239">
            <v>17900</v>
          </cell>
          <cell r="F239" t="str">
            <v>MONTGOMERY VAUGHN PLAZA</v>
          </cell>
          <cell r="G239" t="str">
            <v>77040830</v>
          </cell>
          <cell r="H239">
            <v>9.99</v>
          </cell>
          <cell r="I239" t="str">
            <v>AL</v>
          </cell>
        </row>
        <row r="240">
          <cell r="A240" t="str">
            <v>EQUITY LOAN</v>
          </cell>
          <cell r="B240" t="str">
            <v>811300</v>
          </cell>
          <cell r="C240">
            <v>36035</v>
          </cell>
          <cell r="D240" t="str">
            <v>CNTR</v>
          </cell>
          <cell r="E240">
            <v>17800</v>
          </cell>
          <cell r="F240" t="str">
            <v>MOBILE SKYLINE</v>
          </cell>
          <cell r="G240" t="str">
            <v>77021570</v>
          </cell>
          <cell r="H240">
            <v>10.24</v>
          </cell>
          <cell r="I240" t="str">
            <v>AL</v>
          </cell>
        </row>
        <row r="241">
          <cell r="A241" t="str">
            <v>EQUITY LOAN</v>
          </cell>
          <cell r="B241" t="str">
            <v>805828</v>
          </cell>
          <cell r="C241">
            <v>36025</v>
          </cell>
          <cell r="D241" t="str">
            <v>CNTR</v>
          </cell>
          <cell r="E241">
            <v>17000</v>
          </cell>
          <cell r="F241" t="str">
            <v>JACKSONVILLE EDGEWOOD</v>
          </cell>
          <cell r="G241" t="str">
            <v>65067266</v>
          </cell>
          <cell r="H241">
            <v>10.99</v>
          </cell>
          <cell r="I241" t="str">
            <v>FL</v>
          </cell>
        </row>
        <row r="242">
          <cell r="A242" t="str">
            <v>EQUITY LOAN</v>
          </cell>
          <cell r="B242" t="str">
            <v>816878</v>
          </cell>
          <cell r="C242">
            <v>36048</v>
          </cell>
          <cell r="D242" t="str">
            <v>CNTR</v>
          </cell>
          <cell r="E242">
            <v>15400</v>
          </cell>
          <cell r="F242" t="str">
            <v>JACKSONVILLE NORTHSIDE</v>
          </cell>
          <cell r="G242" t="str">
            <v>65062765</v>
          </cell>
          <cell r="H242">
            <v>10.24</v>
          </cell>
          <cell r="I242" t="str">
            <v>FL</v>
          </cell>
        </row>
        <row r="243">
          <cell r="A243" t="str">
            <v>EQUITY LOAN</v>
          </cell>
          <cell r="B243" t="str">
            <v>806742</v>
          </cell>
          <cell r="C243">
            <v>36026</v>
          </cell>
          <cell r="D243" t="str">
            <v>CNTR</v>
          </cell>
          <cell r="E243">
            <v>15000</v>
          </cell>
          <cell r="F243" t="str">
            <v>MUSCLE SHOALS</v>
          </cell>
          <cell r="G243" t="str">
            <v>77036302</v>
          </cell>
          <cell r="H243">
            <v>9.5</v>
          </cell>
          <cell r="I243" t="str">
            <v>AL</v>
          </cell>
        </row>
        <row r="244">
          <cell r="A244" t="str">
            <v>EQUITY LOAN</v>
          </cell>
          <cell r="B244" t="str">
            <v>807618</v>
          </cell>
          <cell r="C244">
            <v>36028</v>
          </cell>
          <cell r="D244" t="str">
            <v>CNTR</v>
          </cell>
          <cell r="E244">
            <v>14600</v>
          </cell>
          <cell r="F244" t="str">
            <v>HUNTSVILLE GOVERNOR'S DRIVE</v>
          </cell>
          <cell r="G244" t="str">
            <v>77032302</v>
          </cell>
          <cell r="H244">
            <v>9.99</v>
          </cell>
          <cell r="I244" t="str">
            <v>AL</v>
          </cell>
        </row>
        <row r="245">
          <cell r="A245" t="str">
            <v>EQUITY LOAN</v>
          </cell>
          <cell r="B245" t="str">
            <v>817209</v>
          </cell>
          <cell r="C245">
            <v>36049</v>
          </cell>
          <cell r="D245" t="str">
            <v>CNTR</v>
          </cell>
          <cell r="E245">
            <v>14000</v>
          </cell>
          <cell r="F245" t="str">
            <v>DECATUR MAIN</v>
          </cell>
          <cell r="G245" t="str">
            <v>77032502</v>
          </cell>
          <cell r="H245">
            <v>9.99</v>
          </cell>
          <cell r="I245" t="str">
            <v>AL</v>
          </cell>
        </row>
        <row r="246">
          <cell r="A246" t="str">
            <v>EQUITY LOAN</v>
          </cell>
          <cell r="B246" t="str">
            <v>806464</v>
          </cell>
          <cell r="C246">
            <v>36026</v>
          </cell>
          <cell r="D246" t="str">
            <v>CNTR</v>
          </cell>
          <cell r="E246">
            <v>13900</v>
          </cell>
          <cell r="F246" t="str">
            <v>FORT WALTON DESTIN</v>
          </cell>
          <cell r="G246" t="str">
            <v>65065165</v>
          </cell>
          <cell r="H246">
            <v>9.99</v>
          </cell>
          <cell r="I246" t="str">
            <v>FL</v>
          </cell>
        </row>
        <row r="247">
          <cell r="A247" t="str">
            <v>EQUITY LOAN</v>
          </cell>
          <cell r="B247" t="str">
            <v>803739</v>
          </cell>
          <cell r="C247">
            <v>36020</v>
          </cell>
          <cell r="D247" t="str">
            <v>CNTR</v>
          </cell>
          <cell r="E247">
            <v>13300</v>
          </cell>
          <cell r="F247" t="str">
            <v>BIRMINGHAM MIDFAIR</v>
          </cell>
          <cell r="G247" t="str">
            <v>77010301</v>
          </cell>
          <cell r="H247">
            <v>9.99</v>
          </cell>
          <cell r="I247" t="str">
            <v>AL</v>
          </cell>
        </row>
        <row r="248">
          <cell r="A248" t="str">
            <v>EQUITY LOAN</v>
          </cell>
          <cell r="B248" t="str">
            <v>794909</v>
          </cell>
          <cell r="C248">
            <v>36000</v>
          </cell>
          <cell r="D248" t="str">
            <v>CNTR</v>
          </cell>
          <cell r="E248">
            <v>13000</v>
          </cell>
          <cell r="F248" t="str">
            <v>MOBILE BEL AIR</v>
          </cell>
          <cell r="G248" t="str">
            <v>77020570</v>
          </cell>
          <cell r="H248">
            <v>9.99</v>
          </cell>
          <cell r="I248" t="str">
            <v>AL</v>
          </cell>
        </row>
        <row r="249">
          <cell r="A249" t="str">
            <v>EQUITY LOAN</v>
          </cell>
          <cell r="B249" t="str">
            <v>802514</v>
          </cell>
          <cell r="C249">
            <v>36018</v>
          </cell>
          <cell r="D249" t="str">
            <v>CNTR</v>
          </cell>
          <cell r="E249">
            <v>13000</v>
          </cell>
          <cell r="F249" t="str">
            <v>HUNTSVILLE HAYSLAND SQUARE</v>
          </cell>
          <cell r="G249" t="str">
            <v>77038602</v>
          </cell>
          <cell r="H249">
            <v>9.49</v>
          </cell>
          <cell r="I249" t="str">
            <v>AL</v>
          </cell>
        </row>
        <row r="250">
          <cell r="A250" t="str">
            <v>EQUITY LOAN</v>
          </cell>
          <cell r="B250" t="str">
            <v>804034</v>
          </cell>
          <cell r="C250">
            <v>36020</v>
          </cell>
          <cell r="D250" t="str">
            <v>CNTR</v>
          </cell>
          <cell r="E250">
            <v>12100</v>
          </cell>
          <cell r="F250" t="str">
            <v>TELEPHONE BANKING - ALABAMA</v>
          </cell>
          <cell r="G250" t="str">
            <v>93001</v>
          </cell>
          <cell r="H250">
            <v>8.49</v>
          </cell>
          <cell r="I250" t="str">
            <v>AL</v>
          </cell>
        </row>
        <row r="251">
          <cell r="A251" t="str">
            <v>EQUITY LOAN</v>
          </cell>
          <cell r="B251" t="str">
            <v>811692</v>
          </cell>
          <cell r="C251">
            <v>36038</v>
          </cell>
          <cell r="D251" t="str">
            <v>CNTR</v>
          </cell>
          <cell r="E251">
            <v>12000</v>
          </cell>
          <cell r="F251" t="str">
            <v>BIRMINGHAM RIVERCHASE</v>
          </cell>
          <cell r="G251" t="str">
            <v>77010901</v>
          </cell>
          <cell r="H251">
            <v>10.24</v>
          </cell>
          <cell r="I251" t="str">
            <v>AL</v>
          </cell>
        </row>
        <row r="252">
          <cell r="A252" t="str">
            <v>EQUITY LOAN</v>
          </cell>
          <cell r="B252" t="str">
            <v>819040</v>
          </cell>
          <cell r="C252">
            <v>36053</v>
          </cell>
          <cell r="D252" t="str">
            <v>CNTR</v>
          </cell>
          <cell r="E252">
            <v>12000</v>
          </cell>
          <cell r="F252" t="str">
            <v>TELEPHONE BANKING - ALABAMA</v>
          </cell>
          <cell r="G252" t="str">
            <v>93001</v>
          </cell>
          <cell r="H252">
            <v>9.5</v>
          </cell>
          <cell r="I252" t="str">
            <v>AL</v>
          </cell>
        </row>
        <row r="253">
          <cell r="A253" t="str">
            <v>EQUITY LOAN</v>
          </cell>
          <cell r="B253" t="str">
            <v>800912</v>
          </cell>
          <cell r="C253">
            <v>36013</v>
          </cell>
          <cell r="D253" t="str">
            <v>CNTR</v>
          </cell>
          <cell r="E253">
            <v>11800</v>
          </cell>
          <cell r="F253" t="str">
            <v>MOBILE BEL AIR</v>
          </cell>
          <cell r="G253" t="str">
            <v>77020570</v>
          </cell>
          <cell r="H253">
            <v>9.99</v>
          </cell>
          <cell r="I253" t="str">
            <v>AL</v>
          </cell>
        </row>
        <row r="254">
          <cell r="A254" t="str">
            <v>EQUITY LOAN</v>
          </cell>
          <cell r="B254" t="str">
            <v>797199</v>
          </cell>
          <cell r="C254">
            <v>36006</v>
          </cell>
          <cell r="D254" t="str">
            <v>CNTR</v>
          </cell>
          <cell r="E254">
            <v>11000</v>
          </cell>
          <cell r="F254" t="str">
            <v>ONEONTA MAIN</v>
          </cell>
          <cell r="G254" t="str">
            <v>77030302</v>
          </cell>
          <cell r="H254">
            <v>9.99</v>
          </cell>
          <cell r="I254" t="str">
            <v>AL</v>
          </cell>
        </row>
        <row r="255">
          <cell r="A255" t="str">
            <v>EQUITY LOAN</v>
          </cell>
          <cell r="B255" t="str">
            <v>819199</v>
          </cell>
          <cell r="C255">
            <v>36054</v>
          </cell>
          <cell r="D255" t="str">
            <v>CNTR</v>
          </cell>
          <cell r="E255">
            <v>10000</v>
          </cell>
          <cell r="F255" t="str">
            <v>TELEPHONE BANKING - ALABAMA</v>
          </cell>
          <cell r="G255" t="str">
            <v>93001</v>
          </cell>
          <cell r="H255">
            <v>9.5</v>
          </cell>
          <cell r="I255" t="str">
            <v>AL</v>
          </cell>
        </row>
        <row r="256">
          <cell r="E256">
            <v>580600</v>
          </cell>
          <cell r="F256">
            <v>43</v>
          </cell>
        </row>
        <row r="257">
          <cell r="F257">
            <v>13502.325581395349</v>
          </cell>
        </row>
        <row r="265">
          <cell r="E265">
            <v>0.58762886597938147</v>
          </cell>
        </row>
        <row r="271">
          <cell r="A271" t="str">
            <v>EQUITY LOAN</v>
          </cell>
          <cell r="B271" t="str">
            <v>801346</v>
          </cell>
          <cell r="C271">
            <v>36014</v>
          </cell>
          <cell r="D271" t="str">
            <v>APPR</v>
          </cell>
          <cell r="E271">
            <v>5000</v>
          </cell>
          <cell r="F271" t="str">
            <v>MONTGOMERY DOWNTOWN</v>
          </cell>
          <cell r="G271" t="str">
            <v>77040330</v>
          </cell>
          <cell r="H271">
            <v>7.75</v>
          </cell>
          <cell r="I271" t="str">
            <v>AL</v>
          </cell>
        </row>
        <row r="272">
          <cell r="A272" t="str">
            <v>EQUITY LOAN</v>
          </cell>
          <cell r="B272" t="str">
            <v>801857</v>
          </cell>
          <cell r="C272">
            <v>36017</v>
          </cell>
          <cell r="D272" t="str">
            <v>APPR</v>
          </cell>
          <cell r="E272">
            <v>5000</v>
          </cell>
          <cell r="F272" t="str">
            <v>MONTGOMERY DOWNTOWN</v>
          </cell>
          <cell r="G272" t="str">
            <v>77040330</v>
          </cell>
          <cell r="H272">
            <v>7.75</v>
          </cell>
          <cell r="I272" t="str">
            <v>AL</v>
          </cell>
        </row>
        <row r="273">
          <cell r="A273" t="str">
            <v>EQUITY LOAN</v>
          </cell>
          <cell r="B273" t="str">
            <v>806005</v>
          </cell>
          <cell r="C273">
            <v>36025</v>
          </cell>
          <cell r="D273" t="str">
            <v>APPR</v>
          </cell>
          <cell r="E273">
            <v>5000</v>
          </cell>
          <cell r="F273" t="str">
            <v>MONTGOMERY DOWNTOWN</v>
          </cell>
          <cell r="G273" t="str">
            <v>77040330</v>
          </cell>
          <cell r="H273">
            <v>7.75</v>
          </cell>
          <cell r="I273" t="str">
            <v>AL</v>
          </cell>
        </row>
        <row r="274">
          <cell r="A274" t="str">
            <v>EQUITY LOAN</v>
          </cell>
          <cell r="B274" t="str">
            <v>798687</v>
          </cell>
          <cell r="C274">
            <v>36010</v>
          </cell>
          <cell r="D274" t="str">
            <v>DEC</v>
          </cell>
          <cell r="E274">
            <v>116000</v>
          </cell>
          <cell r="F274" t="str">
            <v>MOBILE COTTAGE HILL</v>
          </cell>
          <cell r="G274" t="str">
            <v>77021870</v>
          </cell>
          <cell r="H274">
            <v>0</v>
          </cell>
          <cell r="I274" t="str">
            <v>AL</v>
          </cell>
        </row>
        <row r="275">
          <cell r="A275" t="str">
            <v>EQUITY LOAN</v>
          </cell>
          <cell r="B275" t="str">
            <v>798781</v>
          </cell>
          <cell r="C275">
            <v>36010</v>
          </cell>
          <cell r="D275" t="str">
            <v>DEC</v>
          </cell>
          <cell r="E275">
            <v>100000</v>
          </cell>
          <cell r="F275" t="str">
            <v>MOBILE BEL AIR</v>
          </cell>
          <cell r="G275" t="str">
            <v>77020570</v>
          </cell>
          <cell r="H275">
            <v>0</v>
          </cell>
          <cell r="I275" t="str">
            <v>AL</v>
          </cell>
        </row>
        <row r="276">
          <cell r="A276" t="str">
            <v>EQUITY LOAN</v>
          </cell>
          <cell r="B276" t="str">
            <v>802897</v>
          </cell>
          <cell r="C276">
            <v>36018</v>
          </cell>
          <cell r="D276" t="str">
            <v>DEC</v>
          </cell>
          <cell r="E276">
            <v>100000</v>
          </cell>
          <cell r="F276" t="str">
            <v>TELEPHONE BANKING - ALABAMA</v>
          </cell>
          <cell r="G276" t="str">
            <v>93001</v>
          </cell>
          <cell r="H276">
            <v>0</v>
          </cell>
          <cell r="I276" t="str">
            <v>AL</v>
          </cell>
        </row>
        <row r="277">
          <cell r="A277" t="str">
            <v>EQUITY LOAN</v>
          </cell>
          <cell r="B277" t="str">
            <v>796237</v>
          </cell>
          <cell r="C277">
            <v>36004</v>
          </cell>
          <cell r="D277" t="str">
            <v>DEC</v>
          </cell>
          <cell r="E277">
            <v>90000</v>
          </cell>
          <cell r="F277" t="str">
            <v>TELEPHONE BANKING - ALABAMA</v>
          </cell>
          <cell r="G277" t="str">
            <v>93001</v>
          </cell>
          <cell r="H277">
            <v>0</v>
          </cell>
          <cell r="I277" t="str">
            <v>AL</v>
          </cell>
        </row>
        <row r="278">
          <cell r="A278" t="str">
            <v>EQUITY LOAN</v>
          </cell>
          <cell r="B278" t="str">
            <v>801952</v>
          </cell>
          <cell r="C278">
            <v>36017</v>
          </cell>
          <cell r="D278" t="str">
            <v>DEC</v>
          </cell>
          <cell r="E278">
            <v>85000</v>
          </cell>
          <cell r="F278" t="str">
            <v>TELEPHONE BANKING - ALABAMA</v>
          </cell>
          <cell r="G278" t="str">
            <v>93001</v>
          </cell>
          <cell r="H278">
            <v>0</v>
          </cell>
          <cell r="I278" t="str">
            <v>AL</v>
          </cell>
        </row>
        <row r="279">
          <cell r="A279" t="str">
            <v>EQUITY LOAN</v>
          </cell>
          <cell r="B279" t="str">
            <v>795558</v>
          </cell>
          <cell r="C279">
            <v>36003</v>
          </cell>
          <cell r="D279" t="str">
            <v>DEC</v>
          </cell>
          <cell r="E279">
            <v>82000</v>
          </cell>
          <cell r="F279" t="str">
            <v>BIRMINGHAM WILDWOOD</v>
          </cell>
          <cell r="G279" t="str">
            <v>77013401</v>
          </cell>
          <cell r="H279">
            <v>0</v>
          </cell>
          <cell r="I279" t="str">
            <v>AL</v>
          </cell>
        </row>
        <row r="280">
          <cell r="A280" t="str">
            <v>EQUITY LOAN</v>
          </cell>
          <cell r="B280" t="str">
            <v>800698</v>
          </cell>
          <cell r="C280">
            <v>36013</v>
          </cell>
          <cell r="D280" t="str">
            <v>DEC</v>
          </cell>
          <cell r="E280">
            <v>78000</v>
          </cell>
          <cell r="F280" t="str">
            <v>MOBILE CHICKASAW</v>
          </cell>
          <cell r="G280" t="str">
            <v>77020370</v>
          </cell>
          <cell r="H280">
            <v>0</v>
          </cell>
          <cell r="I280" t="str">
            <v>AL</v>
          </cell>
        </row>
        <row r="281">
          <cell r="A281" t="str">
            <v>EQUITY LOAN</v>
          </cell>
          <cell r="B281" t="str">
            <v>802177</v>
          </cell>
          <cell r="C281">
            <v>36017</v>
          </cell>
          <cell r="D281" t="str">
            <v>DEC</v>
          </cell>
          <cell r="E281">
            <v>75000</v>
          </cell>
          <cell r="F281" t="str">
            <v>JACKSONVILLE SOUTHSIDE</v>
          </cell>
          <cell r="G281" t="str">
            <v>65061965</v>
          </cell>
          <cell r="H281">
            <v>0</v>
          </cell>
          <cell r="I281" t="str">
            <v>FL</v>
          </cell>
        </row>
        <row r="282">
          <cell r="A282" t="str">
            <v>EQUITY LOAN</v>
          </cell>
          <cell r="B282" t="str">
            <v>800174</v>
          </cell>
          <cell r="C282">
            <v>36012</v>
          </cell>
          <cell r="D282" t="str">
            <v>DEC</v>
          </cell>
          <cell r="E282">
            <v>71000</v>
          </cell>
          <cell r="F282" t="str">
            <v>BIRMINGHAM MARKETPLACE</v>
          </cell>
          <cell r="G282" t="str">
            <v>77012701</v>
          </cell>
          <cell r="H282">
            <v>0</v>
          </cell>
          <cell r="I282" t="str">
            <v>AL</v>
          </cell>
        </row>
        <row r="283">
          <cell r="A283" t="str">
            <v>EQUITY LOAN</v>
          </cell>
          <cell r="B283" t="str">
            <v>811706</v>
          </cell>
          <cell r="C283">
            <v>36038</v>
          </cell>
          <cell r="D283" t="str">
            <v>DEC</v>
          </cell>
          <cell r="E283">
            <v>65277</v>
          </cell>
          <cell r="F283" t="str">
            <v>MOBILE EIGHT MILE</v>
          </cell>
          <cell r="G283" t="str">
            <v>77020670</v>
          </cell>
          <cell r="H283">
            <v>0</v>
          </cell>
          <cell r="I283" t="str">
            <v>AL</v>
          </cell>
        </row>
        <row r="284">
          <cell r="A284" t="str">
            <v>EQUITY LOAN</v>
          </cell>
          <cell r="B284" t="str">
            <v>808474</v>
          </cell>
          <cell r="C284">
            <v>36031</v>
          </cell>
          <cell r="D284" t="str">
            <v>DEC</v>
          </cell>
          <cell r="E284">
            <v>65000</v>
          </cell>
          <cell r="F284" t="str">
            <v>WALKER COUNTY JASPER MAIN</v>
          </cell>
          <cell r="G284" t="str">
            <v>77025131</v>
          </cell>
          <cell r="H284">
            <v>0</v>
          </cell>
          <cell r="I284" t="str">
            <v>AL</v>
          </cell>
        </row>
        <row r="285">
          <cell r="A285" t="str">
            <v>EQUITY LOAN</v>
          </cell>
          <cell r="B285" t="str">
            <v>811091</v>
          </cell>
          <cell r="C285">
            <v>36035</v>
          </cell>
          <cell r="D285" t="str">
            <v>DEC</v>
          </cell>
          <cell r="E285">
            <v>65000</v>
          </cell>
          <cell r="F285" t="str">
            <v>JACKSONVILLE SEVEN HILLS</v>
          </cell>
          <cell r="G285" t="str">
            <v>65062365</v>
          </cell>
          <cell r="H285">
            <v>0</v>
          </cell>
          <cell r="I285" t="str">
            <v>FL</v>
          </cell>
        </row>
        <row r="286">
          <cell r="A286" t="str">
            <v>EQUITY LOAN</v>
          </cell>
          <cell r="B286" t="str">
            <v>816050</v>
          </cell>
          <cell r="C286">
            <v>36047</v>
          </cell>
          <cell r="D286" t="str">
            <v>DEC</v>
          </cell>
          <cell r="E286">
            <v>65000</v>
          </cell>
          <cell r="F286" t="str">
            <v>JACKSONVILLE REGENCY</v>
          </cell>
          <cell r="G286" t="str">
            <v>65062266</v>
          </cell>
          <cell r="H286">
            <v>0</v>
          </cell>
          <cell r="I286" t="str">
            <v>FL</v>
          </cell>
        </row>
        <row r="287">
          <cell r="A287" t="str">
            <v>EQUITY LOAN</v>
          </cell>
          <cell r="B287" t="str">
            <v>813558</v>
          </cell>
          <cell r="C287">
            <v>36040</v>
          </cell>
          <cell r="D287" t="str">
            <v>DEC</v>
          </cell>
          <cell r="E287">
            <v>62000</v>
          </cell>
          <cell r="F287" t="str">
            <v>JACKSONVILLE SOUTHSIDE</v>
          </cell>
          <cell r="G287" t="str">
            <v>65061965</v>
          </cell>
          <cell r="H287">
            <v>0</v>
          </cell>
          <cell r="I287" t="str">
            <v>FL</v>
          </cell>
        </row>
        <row r="288">
          <cell r="A288" t="str">
            <v>EQUITY LOAN</v>
          </cell>
          <cell r="B288" t="str">
            <v>809339</v>
          </cell>
          <cell r="C288">
            <v>36032</v>
          </cell>
          <cell r="D288" t="str">
            <v>DEC</v>
          </cell>
          <cell r="E288">
            <v>60000</v>
          </cell>
          <cell r="F288" t="str">
            <v>JACKSONVILLE NORTHSIDE</v>
          </cell>
          <cell r="G288" t="str">
            <v>65062765</v>
          </cell>
          <cell r="H288">
            <v>0</v>
          </cell>
          <cell r="I288" t="str">
            <v>FL</v>
          </cell>
        </row>
        <row r="289">
          <cell r="A289" t="str">
            <v>EQUITY LOAN</v>
          </cell>
          <cell r="B289" t="str">
            <v>814605</v>
          </cell>
          <cell r="C289">
            <v>36042</v>
          </cell>
          <cell r="D289" t="str">
            <v>DEC</v>
          </cell>
          <cell r="E289">
            <v>60000</v>
          </cell>
          <cell r="F289" t="str">
            <v>TELEPHONE BANKING - ALABAMA</v>
          </cell>
          <cell r="G289" t="str">
            <v>93001</v>
          </cell>
          <cell r="H289">
            <v>0</v>
          </cell>
          <cell r="I289" t="str">
            <v>AL</v>
          </cell>
        </row>
        <row r="290">
          <cell r="A290" t="str">
            <v>EQUITY LOAN</v>
          </cell>
          <cell r="B290" t="str">
            <v>816126</v>
          </cell>
          <cell r="C290">
            <v>36047</v>
          </cell>
          <cell r="D290" t="str">
            <v>DEC</v>
          </cell>
          <cell r="E290">
            <v>58000</v>
          </cell>
          <cell r="F290" t="str">
            <v>BIRMINGHAM ROEBUCK</v>
          </cell>
          <cell r="G290" t="str">
            <v>77010401</v>
          </cell>
          <cell r="H290">
            <v>0</v>
          </cell>
          <cell r="I290" t="str">
            <v>AL</v>
          </cell>
        </row>
        <row r="291">
          <cell r="A291" t="str">
            <v>EQUITY LOAN</v>
          </cell>
          <cell r="B291" t="str">
            <v>819652</v>
          </cell>
          <cell r="C291">
            <v>36055</v>
          </cell>
          <cell r="D291" t="str">
            <v>DEC</v>
          </cell>
          <cell r="E291">
            <v>55000</v>
          </cell>
          <cell r="F291" t="str">
            <v>FORT WALTON MARY ESTHER</v>
          </cell>
          <cell r="G291" t="str">
            <v>65065665</v>
          </cell>
          <cell r="H291">
            <v>0</v>
          </cell>
          <cell r="I291" t="str">
            <v>FL</v>
          </cell>
        </row>
        <row r="292">
          <cell r="A292" t="str">
            <v>EQUITY LOAN</v>
          </cell>
          <cell r="B292" t="str">
            <v>799895</v>
          </cell>
          <cell r="C292">
            <v>36012</v>
          </cell>
          <cell r="D292" t="str">
            <v>DEC</v>
          </cell>
          <cell r="E292">
            <v>50000</v>
          </cell>
          <cell r="F292" t="str">
            <v>JACKSONVILLE REGENCY</v>
          </cell>
          <cell r="G292" t="str">
            <v>65062266</v>
          </cell>
          <cell r="H292">
            <v>0</v>
          </cell>
          <cell r="I292" t="str">
            <v>FL</v>
          </cell>
        </row>
        <row r="293">
          <cell r="A293" t="str">
            <v>EQUITY LOAN</v>
          </cell>
          <cell r="B293" t="str">
            <v>815361</v>
          </cell>
          <cell r="C293">
            <v>36046</v>
          </cell>
          <cell r="D293" t="str">
            <v>DEC</v>
          </cell>
          <cell r="E293">
            <v>50000</v>
          </cell>
          <cell r="F293" t="str">
            <v>JACKSONVILLE EDGEWOOD</v>
          </cell>
          <cell r="G293" t="str">
            <v>65067266</v>
          </cell>
          <cell r="H293">
            <v>0</v>
          </cell>
          <cell r="I293" t="str">
            <v>FL</v>
          </cell>
        </row>
        <row r="294">
          <cell r="A294" t="str">
            <v>EQUITY LOAN</v>
          </cell>
          <cell r="B294" t="str">
            <v>795896</v>
          </cell>
          <cell r="C294">
            <v>36003</v>
          </cell>
          <cell r="D294" t="str">
            <v>DEC</v>
          </cell>
          <cell r="E294">
            <v>48000</v>
          </cell>
          <cell r="F294" t="str">
            <v>MOBILE EIGHT MILE</v>
          </cell>
          <cell r="G294" t="str">
            <v>77020670</v>
          </cell>
          <cell r="H294">
            <v>0</v>
          </cell>
          <cell r="I294" t="str">
            <v>AL</v>
          </cell>
        </row>
        <row r="295">
          <cell r="A295" t="str">
            <v>EQUITY LOAN</v>
          </cell>
          <cell r="B295" t="str">
            <v>807640</v>
          </cell>
          <cell r="C295">
            <v>36028</v>
          </cell>
          <cell r="D295" t="str">
            <v>DEC</v>
          </cell>
          <cell r="E295">
            <v>48000</v>
          </cell>
          <cell r="F295" t="str">
            <v>TELEPHONE BANKING - ALABAMA</v>
          </cell>
          <cell r="G295" t="str">
            <v>93001</v>
          </cell>
          <cell r="H295">
            <v>0</v>
          </cell>
          <cell r="I295" t="str">
            <v>AL</v>
          </cell>
        </row>
        <row r="296">
          <cell r="A296" t="str">
            <v>EQUITY LOAN</v>
          </cell>
          <cell r="B296" t="str">
            <v>799659</v>
          </cell>
          <cell r="C296">
            <v>36011</v>
          </cell>
          <cell r="D296" t="str">
            <v>DEC</v>
          </cell>
          <cell r="E296">
            <v>45000</v>
          </cell>
          <cell r="F296" t="str">
            <v>JACKSONVILLE PONTE VEDRA</v>
          </cell>
          <cell r="G296" t="str">
            <v>65062065</v>
          </cell>
          <cell r="H296">
            <v>0</v>
          </cell>
          <cell r="I296" t="str">
            <v>FL</v>
          </cell>
        </row>
        <row r="297">
          <cell r="A297" t="str">
            <v>EQUITY LOAN</v>
          </cell>
          <cell r="B297" t="str">
            <v>801906</v>
          </cell>
          <cell r="C297">
            <v>36017</v>
          </cell>
          <cell r="D297" t="str">
            <v>DEC</v>
          </cell>
          <cell r="E297">
            <v>45000</v>
          </cell>
          <cell r="F297" t="str">
            <v>JACKSONVILLE PONTE VEDRA</v>
          </cell>
          <cell r="G297" t="str">
            <v>65062065</v>
          </cell>
          <cell r="H297">
            <v>0</v>
          </cell>
          <cell r="I297" t="str">
            <v>FL</v>
          </cell>
        </row>
        <row r="298">
          <cell r="A298" t="str">
            <v>EQUITY LOAN</v>
          </cell>
          <cell r="B298" t="str">
            <v>807539</v>
          </cell>
          <cell r="C298">
            <v>36028</v>
          </cell>
          <cell r="D298" t="str">
            <v>DEC</v>
          </cell>
          <cell r="E298">
            <v>45000</v>
          </cell>
          <cell r="F298" t="str">
            <v>BIRMINGHAM WARRIOR</v>
          </cell>
          <cell r="G298" t="str">
            <v>77011001</v>
          </cell>
          <cell r="H298">
            <v>0</v>
          </cell>
          <cell r="I298" t="str">
            <v>AL</v>
          </cell>
        </row>
        <row r="299">
          <cell r="A299" t="str">
            <v>EQUITY LOAN</v>
          </cell>
          <cell r="B299" t="str">
            <v>813696</v>
          </cell>
          <cell r="C299">
            <v>36041</v>
          </cell>
          <cell r="D299" t="str">
            <v>DEC</v>
          </cell>
          <cell r="E299">
            <v>45000</v>
          </cell>
          <cell r="F299" t="str">
            <v>MONTGOMERY DOWNTOWN</v>
          </cell>
          <cell r="G299" t="str">
            <v>77040330</v>
          </cell>
          <cell r="H299">
            <v>0</v>
          </cell>
          <cell r="I299" t="str">
            <v>AL</v>
          </cell>
        </row>
        <row r="300">
          <cell r="A300" t="str">
            <v>EQUITY LOAN</v>
          </cell>
          <cell r="B300" t="str">
            <v>796487</v>
          </cell>
          <cell r="C300">
            <v>36004</v>
          </cell>
          <cell r="D300" t="str">
            <v>DEC</v>
          </cell>
          <cell r="E300">
            <v>44000</v>
          </cell>
          <cell r="F300" t="str">
            <v>TELEPHONE BANKING - ALABAMA</v>
          </cell>
          <cell r="G300" t="str">
            <v>93001</v>
          </cell>
          <cell r="H300">
            <v>0</v>
          </cell>
          <cell r="I300" t="str">
            <v>AL</v>
          </cell>
        </row>
        <row r="301">
          <cell r="A301" t="str">
            <v>EQUITY LOAN</v>
          </cell>
          <cell r="B301" t="str">
            <v>807578</v>
          </cell>
          <cell r="C301">
            <v>36028</v>
          </cell>
          <cell r="D301" t="str">
            <v>DEC</v>
          </cell>
          <cell r="E301">
            <v>42000</v>
          </cell>
          <cell r="F301" t="str">
            <v>MOBILE OVERLOOK</v>
          </cell>
          <cell r="G301" t="str">
            <v>77021370</v>
          </cell>
          <cell r="H301">
            <v>0</v>
          </cell>
          <cell r="I301" t="str">
            <v>AL</v>
          </cell>
        </row>
        <row r="302">
          <cell r="A302" t="str">
            <v>EQUITY LOAN</v>
          </cell>
          <cell r="B302" t="str">
            <v>815317</v>
          </cell>
          <cell r="C302">
            <v>36046</v>
          </cell>
          <cell r="D302" t="str">
            <v>DEC</v>
          </cell>
          <cell r="E302">
            <v>42000</v>
          </cell>
          <cell r="F302" t="str">
            <v>TELEPHONE BANKING - ALABAMA</v>
          </cell>
          <cell r="G302" t="str">
            <v>93001</v>
          </cell>
          <cell r="H302">
            <v>0</v>
          </cell>
          <cell r="I302" t="str">
            <v>AL</v>
          </cell>
        </row>
        <row r="303">
          <cell r="A303" t="str">
            <v>EQUITY LOAN</v>
          </cell>
          <cell r="B303" t="str">
            <v>796675</v>
          </cell>
          <cell r="C303">
            <v>36005</v>
          </cell>
          <cell r="D303" t="str">
            <v>DEC</v>
          </cell>
          <cell r="E303">
            <v>40000</v>
          </cell>
          <cell r="F303" t="str">
            <v>TELEPHONE BANKING - FLORIDA</v>
          </cell>
          <cell r="G303" t="str">
            <v>93002</v>
          </cell>
          <cell r="H303">
            <v>0</v>
          </cell>
          <cell r="I303" t="str">
            <v>FL</v>
          </cell>
        </row>
        <row r="304">
          <cell r="A304" t="str">
            <v>EQUITY LOAN</v>
          </cell>
          <cell r="B304" t="str">
            <v>797092</v>
          </cell>
          <cell r="C304">
            <v>36005</v>
          </cell>
          <cell r="D304" t="str">
            <v>DEC</v>
          </cell>
          <cell r="E304">
            <v>40000</v>
          </cell>
          <cell r="F304" t="str">
            <v>TELEPHONE BANKING - ALABAMA</v>
          </cell>
          <cell r="G304" t="str">
            <v>93001</v>
          </cell>
          <cell r="H304">
            <v>0</v>
          </cell>
          <cell r="I304" t="str">
            <v>AL</v>
          </cell>
        </row>
        <row r="305">
          <cell r="A305" t="str">
            <v>EQUITY LOAN</v>
          </cell>
          <cell r="B305" t="str">
            <v>797933</v>
          </cell>
          <cell r="C305">
            <v>36007</v>
          </cell>
          <cell r="D305" t="str">
            <v>DEC</v>
          </cell>
          <cell r="E305">
            <v>40000</v>
          </cell>
          <cell r="F305" t="str">
            <v>BIRMINGHAM WILDWOOD</v>
          </cell>
          <cell r="G305" t="str">
            <v>77013401</v>
          </cell>
          <cell r="H305">
            <v>0</v>
          </cell>
          <cell r="I305" t="str">
            <v>AL</v>
          </cell>
        </row>
        <row r="306">
          <cell r="A306" t="str">
            <v>EQUITY LOAN</v>
          </cell>
          <cell r="B306" t="str">
            <v>799614</v>
          </cell>
          <cell r="C306">
            <v>36011</v>
          </cell>
          <cell r="D306" t="str">
            <v>DEC</v>
          </cell>
          <cell r="E306">
            <v>40000</v>
          </cell>
          <cell r="F306" t="str">
            <v>JACKSONVILLE SAN PABLO</v>
          </cell>
          <cell r="G306" t="str">
            <v>65062966</v>
          </cell>
          <cell r="H306">
            <v>0</v>
          </cell>
          <cell r="I306" t="str">
            <v>FL</v>
          </cell>
        </row>
        <row r="307">
          <cell r="A307" t="str">
            <v>EQUITY LOAN</v>
          </cell>
          <cell r="B307" t="str">
            <v>801834</v>
          </cell>
          <cell r="C307">
            <v>36017</v>
          </cell>
          <cell r="D307" t="str">
            <v>DEC</v>
          </cell>
          <cell r="E307">
            <v>40000</v>
          </cell>
          <cell r="F307" t="str">
            <v>MOBILE GARDEN DISTRICT</v>
          </cell>
          <cell r="G307" t="str">
            <v>77021470</v>
          </cell>
          <cell r="H307">
            <v>0</v>
          </cell>
          <cell r="I307" t="str">
            <v>AL</v>
          </cell>
        </row>
        <row r="308">
          <cell r="A308" t="str">
            <v>EQUITY LOAN</v>
          </cell>
          <cell r="B308" t="str">
            <v>802127</v>
          </cell>
          <cell r="C308">
            <v>36017</v>
          </cell>
          <cell r="D308" t="str">
            <v>DEC</v>
          </cell>
          <cell r="E308">
            <v>40000</v>
          </cell>
          <cell r="F308" t="str">
            <v>TELEPHONE BANKING - ALABAMA</v>
          </cell>
          <cell r="G308" t="str">
            <v>93001</v>
          </cell>
          <cell r="H308">
            <v>0</v>
          </cell>
          <cell r="I308" t="str">
            <v>AL</v>
          </cell>
        </row>
        <row r="309">
          <cell r="A309" t="str">
            <v>EQUITY LOAN</v>
          </cell>
          <cell r="B309" t="str">
            <v>802697</v>
          </cell>
          <cell r="C309">
            <v>36018</v>
          </cell>
          <cell r="D309" t="str">
            <v>DEC</v>
          </cell>
          <cell r="E309">
            <v>40000</v>
          </cell>
          <cell r="F309" t="str">
            <v>JACKSONVILLE ARGYLE</v>
          </cell>
          <cell r="G309" t="str">
            <v>65065766</v>
          </cell>
          <cell r="H309">
            <v>0</v>
          </cell>
          <cell r="I309" t="str">
            <v>FL</v>
          </cell>
        </row>
        <row r="310">
          <cell r="A310" t="str">
            <v>EQUITY LOAN</v>
          </cell>
          <cell r="B310" t="str">
            <v>803148</v>
          </cell>
          <cell r="C310">
            <v>36019</v>
          </cell>
          <cell r="D310" t="str">
            <v>DEC</v>
          </cell>
          <cell r="E310">
            <v>40000</v>
          </cell>
          <cell r="F310" t="str">
            <v>BIRMINGHAM BROOKWOOD</v>
          </cell>
          <cell r="G310" t="str">
            <v>77010601</v>
          </cell>
          <cell r="H310">
            <v>0</v>
          </cell>
          <cell r="I310" t="str">
            <v>AL</v>
          </cell>
        </row>
        <row r="311">
          <cell r="A311" t="str">
            <v>EQUITY LOAN</v>
          </cell>
          <cell r="B311" t="str">
            <v>806486</v>
          </cell>
          <cell r="C311">
            <v>36026</v>
          </cell>
          <cell r="D311" t="str">
            <v>DEC</v>
          </cell>
          <cell r="E311">
            <v>40000</v>
          </cell>
          <cell r="F311" t="str">
            <v>MONTGOMERY FOREST HILLS</v>
          </cell>
          <cell r="G311" t="str">
            <v>77040530</v>
          </cell>
          <cell r="H311">
            <v>0</v>
          </cell>
          <cell r="I311" t="str">
            <v>AL</v>
          </cell>
        </row>
        <row r="312">
          <cell r="A312" t="str">
            <v>EQUITY LOAN</v>
          </cell>
          <cell r="B312" t="str">
            <v>814617</v>
          </cell>
          <cell r="C312">
            <v>36042</v>
          </cell>
          <cell r="D312" t="str">
            <v>DEC</v>
          </cell>
          <cell r="E312">
            <v>40000</v>
          </cell>
          <cell r="F312" t="str">
            <v>J'VILLE FERNANDINA BEACH</v>
          </cell>
          <cell r="G312" t="str">
            <v>65066366</v>
          </cell>
          <cell r="H312">
            <v>0</v>
          </cell>
          <cell r="I312" t="str">
            <v>FL</v>
          </cell>
        </row>
        <row r="313">
          <cell r="A313" t="str">
            <v>EQUITY LOAN</v>
          </cell>
          <cell r="B313" t="str">
            <v>815271</v>
          </cell>
          <cell r="C313">
            <v>36046</v>
          </cell>
          <cell r="D313" t="str">
            <v>DEC</v>
          </cell>
          <cell r="E313">
            <v>40000</v>
          </cell>
          <cell r="F313" t="str">
            <v>TELEPHONE BANKING - ALABAMA</v>
          </cell>
          <cell r="G313" t="str">
            <v>93001</v>
          </cell>
          <cell r="H313">
            <v>0</v>
          </cell>
          <cell r="I313" t="str">
            <v>AL</v>
          </cell>
        </row>
        <row r="314">
          <cell r="A314" t="str">
            <v>EQUITY LOAN</v>
          </cell>
          <cell r="B314" t="str">
            <v>819959</v>
          </cell>
          <cell r="C314">
            <v>36055</v>
          </cell>
          <cell r="D314" t="str">
            <v>DEC</v>
          </cell>
          <cell r="E314">
            <v>40000</v>
          </cell>
          <cell r="F314" t="str">
            <v>MOBILE BEL AIR</v>
          </cell>
          <cell r="G314" t="str">
            <v>77020570</v>
          </cell>
          <cell r="H314">
            <v>0</v>
          </cell>
          <cell r="I314" t="str">
            <v>AL</v>
          </cell>
        </row>
        <row r="315">
          <cell r="A315" t="str">
            <v>EQUITY LOAN</v>
          </cell>
          <cell r="B315" t="str">
            <v>812752</v>
          </cell>
          <cell r="C315">
            <v>36039</v>
          </cell>
          <cell r="D315" t="str">
            <v>DEC</v>
          </cell>
          <cell r="E315">
            <v>35000</v>
          </cell>
          <cell r="F315" t="str">
            <v>MOBILE BEL AIR</v>
          </cell>
          <cell r="G315" t="str">
            <v>77020570</v>
          </cell>
          <cell r="H315">
            <v>0</v>
          </cell>
          <cell r="I315" t="str">
            <v>AL</v>
          </cell>
        </row>
        <row r="316">
          <cell r="A316" t="str">
            <v>EQUITY LOAN</v>
          </cell>
          <cell r="B316" t="str">
            <v>819473</v>
          </cell>
          <cell r="C316">
            <v>36054</v>
          </cell>
          <cell r="D316" t="str">
            <v>DEC</v>
          </cell>
          <cell r="E316">
            <v>35000</v>
          </cell>
          <cell r="F316" t="str">
            <v>TELEPHONE BANKING - WEB AL</v>
          </cell>
          <cell r="G316" t="str">
            <v>93009</v>
          </cell>
          <cell r="H316">
            <v>0</v>
          </cell>
          <cell r="I316" t="str">
            <v>AL</v>
          </cell>
        </row>
        <row r="317">
          <cell r="A317" t="str">
            <v>EQUITY LOAN</v>
          </cell>
          <cell r="B317" t="str">
            <v>820313</v>
          </cell>
          <cell r="C317">
            <v>36056</v>
          </cell>
          <cell r="D317" t="str">
            <v>DEC</v>
          </cell>
          <cell r="E317">
            <v>35000</v>
          </cell>
          <cell r="F317" t="str">
            <v>TELEPHONE BANKING - FLORIDA</v>
          </cell>
          <cell r="G317" t="str">
            <v>93002</v>
          </cell>
          <cell r="H317">
            <v>0</v>
          </cell>
          <cell r="I317" t="str">
            <v>FL</v>
          </cell>
        </row>
        <row r="318">
          <cell r="A318" t="str">
            <v>EQUITY LOAN</v>
          </cell>
          <cell r="B318" t="str">
            <v>798878</v>
          </cell>
          <cell r="C318">
            <v>36010</v>
          </cell>
          <cell r="D318" t="str">
            <v>DEC</v>
          </cell>
          <cell r="E318">
            <v>31500</v>
          </cell>
          <cell r="F318" t="str">
            <v>MOBILE SKYLINE</v>
          </cell>
          <cell r="G318" t="str">
            <v>77021570</v>
          </cell>
          <cell r="H318">
            <v>0</v>
          </cell>
          <cell r="I318" t="str">
            <v>AL</v>
          </cell>
        </row>
        <row r="319">
          <cell r="A319" t="str">
            <v>EQUITY LOAN</v>
          </cell>
          <cell r="B319" t="str">
            <v>817115</v>
          </cell>
          <cell r="C319">
            <v>36049</v>
          </cell>
          <cell r="D319" t="str">
            <v>DEC</v>
          </cell>
          <cell r="E319">
            <v>31000</v>
          </cell>
          <cell r="F319" t="str">
            <v>TELEPHONE BANKING - ALABAMA</v>
          </cell>
          <cell r="G319" t="str">
            <v>93001</v>
          </cell>
          <cell r="H319">
            <v>0</v>
          </cell>
          <cell r="I319" t="str">
            <v>AL</v>
          </cell>
        </row>
        <row r="320">
          <cell r="A320" t="str">
            <v>EQUITY LOAN</v>
          </cell>
          <cell r="B320" t="str">
            <v>818353</v>
          </cell>
          <cell r="C320">
            <v>36052</v>
          </cell>
          <cell r="D320" t="str">
            <v>DEC</v>
          </cell>
          <cell r="E320">
            <v>31000</v>
          </cell>
          <cell r="F320" t="str">
            <v>MOBILE BEL AIR</v>
          </cell>
          <cell r="G320" t="str">
            <v>77020570</v>
          </cell>
          <cell r="H320">
            <v>0</v>
          </cell>
          <cell r="I320" t="str">
            <v>AL</v>
          </cell>
        </row>
        <row r="321">
          <cell r="A321" t="str">
            <v>EQUITY LOAN</v>
          </cell>
          <cell r="B321" t="str">
            <v>813633</v>
          </cell>
          <cell r="C321">
            <v>36040</v>
          </cell>
          <cell r="D321" t="str">
            <v>DEC</v>
          </cell>
          <cell r="E321">
            <v>30045</v>
          </cell>
          <cell r="F321" t="str">
            <v>JACKSONVILLE SEVEN HILLS</v>
          </cell>
          <cell r="G321" t="str">
            <v>65062365</v>
          </cell>
          <cell r="H321">
            <v>0</v>
          </cell>
          <cell r="I321" t="str">
            <v>FL</v>
          </cell>
        </row>
        <row r="322">
          <cell r="A322" t="str">
            <v>EQUITY LOAN</v>
          </cell>
          <cell r="B322" t="str">
            <v>799152</v>
          </cell>
          <cell r="C322">
            <v>36010</v>
          </cell>
          <cell r="D322" t="str">
            <v>DEC</v>
          </cell>
          <cell r="E322">
            <v>30000</v>
          </cell>
          <cell r="F322" t="str">
            <v>MOBILE SKYLINE</v>
          </cell>
          <cell r="G322" t="str">
            <v>77021570</v>
          </cell>
          <cell r="H322">
            <v>0</v>
          </cell>
          <cell r="I322" t="str">
            <v>AL</v>
          </cell>
        </row>
        <row r="323">
          <cell r="A323" t="str">
            <v>EQUITY LOAN</v>
          </cell>
          <cell r="B323" t="str">
            <v>818319</v>
          </cell>
          <cell r="C323">
            <v>36052</v>
          </cell>
          <cell r="D323" t="str">
            <v>DEC</v>
          </cell>
          <cell r="E323">
            <v>30000</v>
          </cell>
          <cell r="F323" t="str">
            <v>MONTGOMERY MAIN</v>
          </cell>
          <cell r="G323" t="str">
            <v>77042630</v>
          </cell>
          <cell r="H323">
            <v>0</v>
          </cell>
          <cell r="I323" t="str">
            <v>AL</v>
          </cell>
        </row>
        <row r="324">
          <cell r="A324" t="str">
            <v>EQUITY LOAN</v>
          </cell>
          <cell r="B324" t="str">
            <v>819741</v>
          </cell>
          <cell r="C324">
            <v>36055</v>
          </cell>
          <cell r="D324" t="str">
            <v>DEC</v>
          </cell>
          <cell r="E324">
            <v>30000</v>
          </cell>
          <cell r="F324" t="str">
            <v>TELEPHONE BANKING - ALABAMA</v>
          </cell>
          <cell r="G324" t="str">
            <v>93001</v>
          </cell>
          <cell r="H324">
            <v>0</v>
          </cell>
          <cell r="I324" t="str">
            <v>AL</v>
          </cell>
        </row>
        <row r="325">
          <cell r="A325" t="str">
            <v>EQUITY LOAN</v>
          </cell>
          <cell r="B325" t="str">
            <v>795602</v>
          </cell>
          <cell r="C325">
            <v>36003</v>
          </cell>
          <cell r="D325" t="str">
            <v>DEC</v>
          </cell>
          <cell r="E325">
            <v>28000</v>
          </cell>
          <cell r="F325" t="str">
            <v>MONTGOMERY NORMANDALE</v>
          </cell>
          <cell r="G325" t="str">
            <v>77040430</v>
          </cell>
          <cell r="H325">
            <v>0</v>
          </cell>
          <cell r="I325" t="str">
            <v>AL</v>
          </cell>
        </row>
        <row r="326">
          <cell r="A326" t="str">
            <v>EQUITY LOAN</v>
          </cell>
          <cell r="B326" t="str">
            <v>802325</v>
          </cell>
          <cell r="C326">
            <v>36017</v>
          </cell>
          <cell r="D326" t="str">
            <v>DEC</v>
          </cell>
          <cell r="E326">
            <v>28000</v>
          </cell>
          <cell r="F326" t="str">
            <v>DOTHAN MAIN</v>
          </cell>
          <cell r="G326" t="str">
            <v>77040028</v>
          </cell>
          <cell r="H326">
            <v>0</v>
          </cell>
          <cell r="I326" t="str">
            <v>AL</v>
          </cell>
        </row>
        <row r="327">
          <cell r="A327" t="str">
            <v>EQUITY LOAN</v>
          </cell>
          <cell r="B327" t="str">
            <v>803860</v>
          </cell>
          <cell r="C327">
            <v>36020</v>
          </cell>
          <cell r="D327" t="str">
            <v>DEC</v>
          </cell>
          <cell r="E327">
            <v>28000</v>
          </cell>
          <cell r="F327" t="str">
            <v>TELEPHONE BANKING - ALABAMA</v>
          </cell>
          <cell r="G327" t="str">
            <v>93001</v>
          </cell>
          <cell r="H327">
            <v>0</v>
          </cell>
          <cell r="I327" t="str">
            <v>AL</v>
          </cell>
        </row>
        <row r="328">
          <cell r="A328" t="str">
            <v>EQUITY LOAN</v>
          </cell>
          <cell r="B328" t="str">
            <v>819941</v>
          </cell>
          <cell r="C328">
            <v>36055</v>
          </cell>
          <cell r="D328" t="str">
            <v>DEC</v>
          </cell>
          <cell r="E328">
            <v>28000</v>
          </cell>
          <cell r="F328" t="str">
            <v>MOBILE EIGHT MILE</v>
          </cell>
          <cell r="G328" t="str">
            <v>77020670</v>
          </cell>
          <cell r="H328">
            <v>0</v>
          </cell>
          <cell r="I328" t="str">
            <v>AL</v>
          </cell>
        </row>
        <row r="329">
          <cell r="A329" t="str">
            <v>EQUITY LOAN</v>
          </cell>
          <cell r="B329" t="str">
            <v>808445</v>
          </cell>
          <cell r="C329">
            <v>36031</v>
          </cell>
          <cell r="D329" t="str">
            <v>DEC</v>
          </cell>
          <cell r="E329">
            <v>27500</v>
          </cell>
          <cell r="F329" t="str">
            <v>MOBILE CLOVERLEAF</v>
          </cell>
          <cell r="G329" t="str">
            <v>77021170</v>
          </cell>
          <cell r="H329">
            <v>0</v>
          </cell>
          <cell r="I329" t="str">
            <v>AL</v>
          </cell>
        </row>
        <row r="330">
          <cell r="A330" t="str">
            <v>EQUITY LOAN</v>
          </cell>
          <cell r="B330" t="str">
            <v>813589</v>
          </cell>
          <cell r="C330">
            <v>36040</v>
          </cell>
          <cell r="D330" t="str">
            <v>DEC</v>
          </cell>
          <cell r="E330">
            <v>27000</v>
          </cell>
          <cell r="F330" t="str">
            <v>TELEPHONE BANKING - ALABAMA</v>
          </cell>
          <cell r="G330" t="str">
            <v>93001</v>
          </cell>
          <cell r="H330">
            <v>0</v>
          </cell>
          <cell r="I330" t="str">
            <v>AL</v>
          </cell>
        </row>
        <row r="331">
          <cell r="A331" t="str">
            <v>EQUITY LOAN</v>
          </cell>
          <cell r="B331" t="str">
            <v>807465</v>
          </cell>
          <cell r="C331">
            <v>36027</v>
          </cell>
          <cell r="D331" t="str">
            <v>DEC</v>
          </cell>
          <cell r="E331">
            <v>26800</v>
          </cell>
          <cell r="F331" t="str">
            <v>TELEPHONE BANKING - ALABAMA</v>
          </cell>
          <cell r="G331" t="str">
            <v>93001</v>
          </cell>
          <cell r="H331">
            <v>0</v>
          </cell>
          <cell r="I331" t="str">
            <v>AL</v>
          </cell>
        </row>
        <row r="332">
          <cell r="A332" t="str">
            <v>EQUITY LOAN</v>
          </cell>
          <cell r="B332" t="str">
            <v>798224</v>
          </cell>
          <cell r="C332">
            <v>36007</v>
          </cell>
          <cell r="D332" t="str">
            <v>DEC</v>
          </cell>
          <cell r="E332">
            <v>26700</v>
          </cell>
          <cell r="F332" t="str">
            <v>MOBILE OVERLOOK</v>
          </cell>
          <cell r="G332" t="str">
            <v>77021370</v>
          </cell>
          <cell r="H332">
            <v>0</v>
          </cell>
          <cell r="I332" t="str">
            <v>AL</v>
          </cell>
        </row>
        <row r="333">
          <cell r="A333" t="str">
            <v>EQUITY LOAN</v>
          </cell>
          <cell r="B333" t="str">
            <v>799990</v>
          </cell>
          <cell r="C333">
            <v>36012</v>
          </cell>
          <cell r="D333" t="str">
            <v>DEC</v>
          </cell>
          <cell r="E333">
            <v>26000</v>
          </cell>
          <cell r="F333" t="str">
            <v>MOBILE CLOVERLEAF</v>
          </cell>
          <cell r="G333" t="str">
            <v>77021170</v>
          </cell>
          <cell r="H333">
            <v>0</v>
          </cell>
          <cell r="I333" t="str">
            <v>AL</v>
          </cell>
        </row>
        <row r="334">
          <cell r="A334" t="str">
            <v>EQUITY LOAN</v>
          </cell>
          <cell r="B334" t="str">
            <v>806918</v>
          </cell>
          <cell r="C334">
            <v>36026</v>
          </cell>
          <cell r="D334" t="str">
            <v>DEC</v>
          </cell>
          <cell r="E334">
            <v>26000</v>
          </cell>
          <cell r="F334" t="str">
            <v>MOBILE REGENCY</v>
          </cell>
          <cell r="G334" t="str">
            <v>77020170</v>
          </cell>
          <cell r="H334">
            <v>0</v>
          </cell>
          <cell r="I334" t="str">
            <v>AL</v>
          </cell>
        </row>
        <row r="335">
          <cell r="A335" t="str">
            <v>EQUITY LOAN</v>
          </cell>
          <cell r="B335" t="str">
            <v>820004</v>
          </cell>
          <cell r="C335">
            <v>36055</v>
          </cell>
          <cell r="D335" t="str">
            <v>DEC</v>
          </cell>
          <cell r="E335">
            <v>26000</v>
          </cell>
          <cell r="F335" t="str">
            <v>BIRMINGHAM RIVERCHASE</v>
          </cell>
          <cell r="G335" t="str">
            <v>77010901</v>
          </cell>
          <cell r="H335">
            <v>0</v>
          </cell>
          <cell r="I335" t="str">
            <v>AL</v>
          </cell>
        </row>
        <row r="336">
          <cell r="A336" t="str">
            <v>EQUITY LOAN</v>
          </cell>
          <cell r="B336" t="str">
            <v>803557</v>
          </cell>
          <cell r="C336">
            <v>36019</v>
          </cell>
          <cell r="D336" t="str">
            <v>DEC</v>
          </cell>
          <cell r="E336">
            <v>25000</v>
          </cell>
          <cell r="F336" t="str">
            <v>BIRMINGHAM UAB</v>
          </cell>
          <cell r="G336" t="str">
            <v>77000101</v>
          </cell>
          <cell r="H336">
            <v>0</v>
          </cell>
          <cell r="I336" t="str">
            <v>AL</v>
          </cell>
        </row>
        <row r="337">
          <cell r="A337" t="str">
            <v>EQUITY LOAN</v>
          </cell>
          <cell r="B337" t="str">
            <v>805381</v>
          </cell>
          <cell r="C337">
            <v>36024</v>
          </cell>
          <cell r="D337" t="str">
            <v>DEC</v>
          </cell>
          <cell r="E337">
            <v>25000</v>
          </cell>
          <cell r="F337" t="str">
            <v>BIRMINGHAM INVERNESS</v>
          </cell>
          <cell r="G337" t="str">
            <v>77014001</v>
          </cell>
          <cell r="H337">
            <v>0</v>
          </cell>
          <cell r="I337" t="str">
            <v>AL</v>
          </cell>
        </row>
        <row r="338">
          <cell r="A338" t="str">
            <v>EQUITY LOAN</v>
          </cell>
          <cell r="B338" t="str">
            <v>806433</v>
          </cell>
          <cell r="C338">
            <v>36026</v>
          </cell>
          <cell r="D338" t="str">
            <v>DEC</v>
          </cell>
          <cell r="E338">
            <v>25000</v>
          </cell>
          <cell r="F338" t="str">
            <v>TELEPHONE BANKING - ALABAMA</v>
          </cell>
          <cell r="G338" t="str">
            <v>93001</v>
          </cell>
          <cell r="H338">
            <v>0</v>
          </cell>
          <cell r="I338" t="str">
            <v>AL</v>
          </cell>
        </row>
        <row r="339">
          <cell r="A339" t="str">
            <v>EQUITY LOAN</v>
          </cell>
          <cell r="B339" t="str">
            <v>807622</v>
          </cell>
          <cell r="C339">
            <v>36028</v>
          </cell>
          <cell r="D339" t="str">
            <v>DEC</v>
          </cell>
          <cell r="E339">
            <v>25000</v>
          </cell>
          <cell r="F339" t="str">
            <v>MOBILE GARDEN DISTRICT</v>
          </cell>
          <cell r="G339" t="str">
            <v>77021470</v>
          </cell>
          <cell r="H339">
            <v>0</v>
          </cell>
          <cell r="I339" t="str">
            <v>AL</v>
          </cell>
        </row>
        <row r="340">
          <cell r="A340" t="str">
            <v>EQUITY LOAN</v>
          </cell>
          <cell r="B340" t="str">
            <v>813389</v>
          </cell>
          <cell r="C340">
            <v>36040</v>
          </cell>
          <cell r="D340" t="str">
            <v>DEC</v>
          </cell>
          <cell r="E340">
            <v>25000</v>
          </cell>
          <cell r="F340" t="str">
            <v>MOBILE OVERLOOK</v>
          </cell>
          <cell r="G340" t="str">
            <v>77021370</v>
          </cell>
          <cell r="H340">
            <v>0</v>
          </cell>
          <cell r="I340" t="str">
            <v>AL</v>
          </cell>
        </row>
        <row r="341">
          <cell r="A341" t="str">
            <v>EQUITY LOAN</v>
          </cell>
          <cell r="B341" t="str">
            <v>817107</v>
          </cell>
          <cell r="C341">
            <v>36049</v>
          </cell>
          <cell r="D341" t="str">
            <v>DEC</v>
          </cell>
          <cell r="E341">
            <v>25000</v>
          </cell>
          <cell r="F341" t="str">
            <v>JACKSONVILLE FORT CAROLINE</v>
          </cell>
          <cell r="G341" t="str">
            <v>65066566</v>
          </cell>
          <cell r="H341">
            <v>0</v>
          </cell>
          <cell r="I341" t="str">
            <v>FL</v>
          </cell>
        </row>
        <row r="342">
          <cell r="A342" t="str">
            <v>EQUITY LOAN</v>
          </cell>
          <cell r="B342" t="str">
            <v>818448</v>
          </cell>
          <cell r="C342">
            <v>36052</v>
          </cell>
          <cell r="D342" t="str">
            <v>DEC</v>
          </cell>
          <cell r="E342">
            <v>25000</v>
          </cell>
          <cell r="F342" t="str">
            <v>TELEPHONE BANKING - ALABAMA</v>
          </cell>
          <cell r="G342" t="str">
            <v>93001</v>
          </cell>
          <cell r="H342">
            <v>0</v>
          </cell>
          <cell r="I342" t="str">
            <v>AL</v>
          </cell>
        </row>
        <row r="343">
          <cell r="A343" t="str">
            <v>EQUITY LOAN</v>
          </cell>
          <cell r="B343" t="str">
            <v>818892</v>
          </cell>
          <cell r="C343">
            <v>36053</v>
          </cell>
          <cell r="D343" t="str">
            <v>DEC</v>
          </cell>
          <cell r="E343">
            <v>25000</v>
          </cell>
          <cell r="F343" t="str">
            <v>TELEPHONE BANKING - ALABAMA</v>
          </cell>
          <cell r="G343" t="str">
            <v>93001</v>
          </cell>
          <cell r="H343">
            <v>0</v>
          </cell>
          <cell r="I343" t="str">
            <v>AL</v>
          </cell>
        </row>
        <row r="344">
          <cell r="A344" t="str">
            <v>EQUITY LOAN</v>
          </cell>
          <cell r="B344" t="str">
            <v>818905</v>
          </cell>
          <cell r="C344">
            <v>36053</v>
          </cell>
          <cell r="D344" t="str">
            <v>DEC</v>
          </cell>
          <cell r="E344">
            <v>25000</v>
          </cell>
          <cell r="F344" t="str">
            <v>TELEPHONE BANKING - ALABAMA</v>
          </cell>
          <cell r="G344" t="str">
            <v>93001</v>
          </cell>
          <cell r="H344">
            <v>0</v>
          </cell>
          <cell r="I344" t="str">
            <v>AL</v>
          </cell>
        </row>
        <row r="345">
          <cell r="A345" t="str">
            <v>EQUITY LOAN</v>
          </cell>
          <cell r="B345" t="str">
            <v>819564</v>
          </cell>
          <cell r="C345">
            <v>36055</v>
          </cell>
          <cell r="D345" t="str">
            <v>DEC</v>
          </cell>
          <cell r="E345">
            <v>25000</v>
          </cell>
          <cell r="F345" t="str">
            <v>TELEPHONE BANKING - FLORIDA</v>
          </cell>
          <cell r="G345" t="str">
            <v>93002</v>
          </cell>
          <cell r="H345">
            <v>0</v>
          </cell>
          <cell r="I345" t="str">
            <v>FL</v>
          </cell>
        </row>
        <row r="346">
          <cell r="A346" t="str">
            <v>EQUITY LOAN</v>
          </cell>
          <cell r="B346" t="str">
            <v>817435</v>
          </cell>
          <cell r="C346">
            <v>36049</v>
          </cell>
          <cell r="D346" t="str">
            <v>DEC</v>
          </cell>
          <cell r="E346">
            <v>24642</v>
          </cell>
          <cell r="F346" t="str">
            <v>TELEPHONE BANKING - ALABAMA</v>
          </cell>
          <cell r="G346" t="str">
            <v>93001</v>
          </cell>
          <cell r="H346">
            <v>0</v>
          </cell>
          <cell r="I346" t="str">
            <v>AL</v>
          </cell>
        </row>
        <row r="347">
          <cell r="A347" t="str">
            <v>EQUITY LOAN</v>
          </cell>
          <cell r="B347" t="str">
            <v>815774</v>
          </cell>
          <cell r="C347">
            <v>36046</v>
          </cell>
          <cell r="D347" t="str">
            <v>DEC</v>
          </cell>
          <cell r="E347">
            <v>24000</v>
          </cell>
          <cell r="F347" t="str">
            <v>J'VILLE GATE PARKWAY OFFICE</v>
          </cell>
          <cell r="G347" t="str">
            <v>65063766</v>
          </cell>
          <cell r="H347">
            <v>0</v>
          </cell>
          <cell r="I347" t="str">
            <v>FL</v>
          </cell>
        </row>
        <row r="348">
          <cell r="A348" t="str">
            <v>EQUITY LOAN</v>
          </cell>
          <cell r="B348" t="str">
            <v>804787</v>
          </cell>
          <cell r="C348">
            <v>36021</v>
          </cell>
          <cell r="D348" t="str">
            <v>DEC</v>
          </cell>
          <cell r="E348">
            <v>22000</v>
          </cell>
          <cell r="F348" t="str">
            <v>JACKSONVILLE ARGYLE</v>
          </cell>
          <cell r="G348" t="str">
            <v>65065766</v>
          </cell>
          <cell r="H348">
            <v>0</v>
          </cell>
          <cell r="I348" t="str">
            <v>FL</v>
          </cell>
        </row>
        <row r="349">
          <cell r="A349" t="str">
            <v>EQUITY LOAN</v>
          </cell>
          <cell r="B349" t="str">
            <v>813699</v>
          </cell>
          <cell r="C349">
            <v>36041</v>
          </cell>
          <cell r="D349" t="str">
            <v>DEC</v>
          </cell>
          <cell r="E349">
            <v>20785</v>
          </cell>
          <cell r="F349" t="str">
            <v>MONTGOMERY DOWNTOWN</v>
          </cell>
          <cell r="G349" t="str">
            <v>77040330</v>
          </cell>
          <cell r="H349">
            <v>0</v>
          </cell>
          <cell r="I349" t="str">
            <v>AL</v>
          </cell>
        </row>
        <row r="350">
          <cell r="A350" t="str">
            <v>EQUITY LOAN</v>
          </cell>
          <cell r="B350" t="str">
            <v>797807</v>
          </cell>
          <cell r="C350">
            <v>36007</v>
          </cell>
          <cell r="D350" t="str">
            <v>DEC</v>
          </cell>
          <cell r="E350">
            <v>20000</v>
          </cell>
          <cell r="F350" t="str">
            <v>MOBILE OVERLOOK</v>
          </cell>
          <cell r="G350" t="str">
            <v>77021370</v>
          </cell>
          <cell r="H350">
            <v>0</v>
          </cell>
          <cell r="I350" t="str">
            <v>AL</v>
          </cell>
        </row>
        <row r="351">
          <cell r="A351" t="str">
            <v>EQUITY LOAN</v>
          </cell>
          <cell r="B351" t="str">
            <v>800899</v>
          </cell>
          <cell r="C351">
            <v>36013</v>
          </cell>
          <cell r="D351" t="str">
            <v>DEC</v>
          </cell>
          <cell r="E351">
            <v>20000</v>
          </cell>
          <cell r="F351" t="str">
            <v>MOBILE BEL AIR</v>
          </cell>
          <cell r="G351" t="str">
            <v>77020570</v>
          </cell>
          <cell r="H351">
            <v>0</v>
          </cell>
          <cell r="I351" t="str">
            <v>AL</v>
          </cell>
        </row>
        <row r="352">
          <cell r="A352" t="str">
            <v>EQUITY LOAN</v>
          </cell>
          <cell r="B352" t="str">
            <v>807006</v>
          </cell>
          <cell r="C352">
            <v>36027</v>
          </cell>
          <cell r="D352" t="str">
            <v>DEC</v>
          </cell>
          <cell r="E352">
            <v>20000</v>
          </cell>
          <cell r="F352" t="str">
            <v>MOBILE BEL AIR</v>
          </cell>
          <cell r="G352" t="str">
            <v>77020570</v>
          </cell>
          <cell r="H352">
            <v>0</v>
          </cell>
          <cell r="I352" t="str">
            <v>AL</v>
          </cell>
        </row>
        <row r="353">
          <cell r="A353" t="str">
            <v>EQUITY LOAN</v>
          </cell>
          <cell r="B353" t="str">
            <v>814494</v>
          </cell>
          <cell r="C353">
            <v>36042</v>
          </cell>
          <cell r="D353" t="str">
            <v>DEC</v>
          </cell>
          <cell r="E353">
            <v>20000</v>
          </cell>
          <cell r="F353" t="str">
            <v>TELEPHONE BANKING - ALABAMA</v>
          </cell>
          <cell r="G353" t="str">
            <v>93001</v>
          </cell>
          <cell r="H353">
            <v>0</v>
          </cell>
          <cell r="I353" t="str">
            <v>AL</v>
          </cell>
        </row>
        <row r="354">
          <cell r="A354" t="str">
            <v>EQUITY LOAN</v>
          </cell>
          <cell r="B354" t="str">
            <v>816417</v>
          </cell>
          <cell r="C354">
            <v>36047</v>
          </cell>
          <cell r="D354" t="str">
            <v>DEC</v>
          </cell>
          <cell r="E354">
            <v>20000</v>
          </cell>
          <cell r="F354" t="str">
            <v>MOBILE BEL AIR</v>
          </cell>
          <cell r="G354" t="str">
            <v>77020570</v>
          </cell>
          <cell r="H354">
            <v>0</v>
          </cell>
          <cell r="I354" t="str">
            <v>AL</v>
          </cell>
        </row>
        <row r="355">
          <cell r="A355" t="str">
            <v>EQUITY LOAN</v>
          </cell>
          <cell r="B355" t="str">
            <v>818072</v>
          </cell>
          <cell r="C355">
            <v>36052</v>
          </cell>
          <cell r="D355" t="str">
            <v>DEC</v>
          </cell>
          <cell r="E355">
            <v>20000</v>
          </cell>
          <cell r="F355" t="str">
            <v>TELEPHONE BANKING - FLORIDA</v>
          </cell>
          <cell r="G355" t="str">
            <v>93002</v>
          </cell>
          <cell r="H355">
            <v>0</v>
          </cell>
          <cell r="I355" t="str">
            <v>FL</v>
          </cell>
        </row>
        <row r="356">
          <cell r="A356" t="str">
            <v>EQUITY LOAN</v>
          </cell>
          <cell r="B356" t="str">
            <v>818665</v>
          </cell>
          <cell r="C356">
            <v>36053</v>
          </cell>
          <cell r="D356" t="str">
            <v>DEC</v>
          </cell>
          <cell r="E356">
            <v>20000</v>
          </cell>
          <cell r="F356" t="str">
            <v>TELEPHONE BANKING - ALABAMA</v>
          </cell>
          <cell r="G356" t="str">
            <v>93001</v>
          </cell>
          <cell r="H356">
            <v>0</v>
          </cell>
          <cell r="I356" t="str">
            <v>AL</v>
          </cell>
        </row>
        <row r="357">
          <cell r="A357" t="str">
            <v>EQUITY LOAN</v>
          </cell>
          <cell r="B357" t="str">
            <v>818772</v>
          </cell>
          <cell r="C357">
            <v>36053</v>
          </cell>
          <cell r="D357" t="str">
            <v>DEC</v>
          </cell>
          <cell r="E357">
            <v>20000</v>
          </cell>
          <cell r="F357" t="str">
            <v>TELEPHONE BANKING - FLORIDA</v>
          </cell>
          <cell r="G357" t="str">
            <v>93002</v>
          </cell>
          <cell r="H357">
            <v>0</v>
          </cell>
          <cell r="I357" t="str">
            <v>FL</v>
          </cell>
        </row>
        <row r="358">
          <cell r="A358" t="str">
            <v>EQUITY LOAN</v>
          </cell>
          <cell r="B358" t="str">
            <v>819125</v>
          </cell>
          <cell r="C358">
            <v>36054</v>
          </cell>
          <cell r="D358" t="str">
            <v>DEC</v>
          </cell>
          <cell r="E358">
            <v>20000</v>
          </cell>
          <cell r="F358" t="str">
            <v>DOTHAN MAIN</v>
          </cell>
          <cell r="G358" t="str">
            <v>77040028</v>
          </cell>
          <cell r="H358">
            <v>0</v>
          </cell>
          <cell r="I358" t="str">
            <v>AL</v>
          </cell>
        </row>
        <row r="359">
          <cell r="A359" t="str">
            <v>EQUITY LOAN</v>
          </cell>
          <cell r="B359" t="str">
            <v>796096</v>
          </cell>
          <cell r="C359">
            <v>36004</v>
          </cell>
          <cell r="D359" t="str">
            <v>DEC</v>
          </cell>
          <cell r="E359">
            <v>18500</v>
          </cell>
          <cell r="F359" t="str">
            <v>TELEPHONE BANKING - ALABAMA</v>
          </cell>
          <cell r="G359" t="str">
            <v>93001</v>
          </cell>
          <cell r="H359">
            <v>0</v>
          </cell>
          <cell r="I359" t="str">
            <v>AL</v>
          </cell>
        </row>
        <row r="360">
          <cell r="A360" t="str">
            <v>EQUITY LOAN</v>
          </cell>
          <cell r="B360" t="str">
            <v>813438</v>
          </cell>
          <cell r="C360">
            <v>36040</v>
          </cell>
          <cell r="D360" t="str">
            <v>DEC</v>
          </cell>
          <cell r="E360">
            <v>18500</v>
          </cell>
          <cell r="F360" t="str">
            <v>TELEPHONE BANKING - ALABAMA</v>
          </cell>
          <cell r="G360" t="str">
            <v>93001</v>
          </cell>
          <cell r="H360">
            <v>0</v>
          </cell>
          <cell r="I360" t="str">
            <v>AL</v>
          </cell>
        </row>
        <row r="361">
          <cell r="A361" t="str">
            <v>EQUITY LOAN</v>
          </cell>
          <cell r="B361" t="str">
            <v>809754</v>
          </cell>
          <cell r="C361">
            <v>36032</v>
          </cell>
          <cell r="D361" t="str">
            <v>DEC</v>
          </cell>
          <cell r="E361">
            <v>17750</v>
          </cell>
          <cell r="F361" t="str">
            <v>TELEPHONE BANKING - ALABAMA</v>
          </cell>
          <cell r="G361" t="str">
            <v>93001</v>
          </cell>
          <cell r="H361">
            <v>0</v>
          </cell>
          <cell r="I361" t="str">
            <v>AL</v>
          </cell>
        </row>
        <row r="362">
          <cell r="A362" t="str">
            <v>EQUITY LOAN</v>
          </cell>
          <cell r="B362" t="str">
            <v>812359</v>
          </cell>
          <cell r="C362">
            <v>36038</v>
          </cell>
          <cell r="D362" t="str">
            <v>DEC</v>
          </cell>
          <cell r="E362">
            <v>16000</v>
          </cell>
          <cell r="F362" t="str">
            <v>MONTGOMERY DOWNTOWN</v>
          </cell>
          <cell r="G362" t="str">
            <v>77040330</v>
          </cell>
          <cell r="H362">
            <v>0</v>
          </cell>
          <cell r="I362" t="str">
            <v>AL</v>
          </cell>
        </row>
        <row r="363">
          <cell r="A363" t="str">
            <v>EQUITY LOAN</v>
          </cell>
          <cell r="B363" t="str">
            <v>795568</v>
          </cell>
          <cell r="C363">
            <v>36003</v>
          </cell>
          <cell r="D363" t="str">
            <v>DEC</v>
          </cell>
          <cell r="E363">
            <v>15000</v>
          </cell>
          <cell r="F363" t="str">
            <v>TELEPHONE BANKING - ALABAMA</v>
          </cell>
          <cell r="G363" t="str">
            <v>93001</v>
          </cell>
          <cell r="H363">
            <v>0</v>
          </cell>
          <cell r="I363" t="str">
            <v>AL</v>
          </cell>
        </row>
        <row r="364">
          <cell r="A364" t="str">
            <v>EQUITY LOAN</v>
          </cell>
          <cell r="B364" t="str">
            <v>795586</v>
          </cell>
          <cell r="C364">
            <v>36003</v>
          </cell>
          <cell r="D364" t="str">
            <v>DEC</v>
          </cell>
          <cell r="E364">
            <v>15000</v>
          </cell>
          <cell r="F364" t="str">
            <v>JACKSONVILLE SOUTHSIDE</v>
          </cell>
          <cell r="G364" t="str">
            <v>65061965</v>
          </cell>
          <cell r="H364">
            <v>0</v>
          </cell>
          <cell r="I364" t="str">
            <v>FL</v>
          </cell>
        </row>
        <row r="365">
          <cell r="A365" t="str">
            <v>EQUITY LOAN</v>
          </cell>
          <cell r="B365" t="str">
            <v>795619</v>
          </cell>
          <cell r="C365">
            <v>36003</v>
          </cell>
          <cell r="D365" t="str">
            <v>DEC</v>
          </cell>
          <cell r="E365">
            <v>15000</v>
          </cell>
          <cell r="F365" t="str">
            <v>HUNTSVILLE NORTHWEST</v>
          </cell>
          <cell r="G365" t="str">
            <v>77032402</v>
          </cell>
          <cell r="H365">
            <v>0</v>
          </cell>
          <cell r="I365" t="str">
            <v>AL</v>
          </cell>
        </row>
        <row r="366">
          <cell r="A366" t="str">
            <v>EQUITY LOAN</v>
          </cell>
          <cell r="B366" t="str">
            <v>796041</v>
          </cell>
          <cell r="C366">
            <v>36004</v>
          </cell>
          <cell r="D366" t="str">
            <v>DEC</v>
          </cell>
          <cell r="E366">
            <v>15000</v>
          </cell>
          <cell r="F366" t="str">
            <v>BIRMINGHAM MARKETPLACE</v>
          </cell>
          <cell r="G366" t="str">
            <v>77012701</v>
          </cell>
          <cell r="H366">
            <v>0</v>
          </cell>
          <cell r="I366" t="str">
            <v>AL</v>
          </cell>
        </row>
        <row r="367">
          <cell r="A367" t="str">
            <v>EQUITY LOAN</v>
          </cell>
          <cell r="B367" t="str">
            <v>796395</v>
          </cell>
          <cell r="C367">
            <v>36004</v>
          </cell>
          <cell r="D367" t="str">
            <v>DEC</v>
          </cell>
          <cell r="E367">
            <v>15000</v>
          </cell>
          <cell r="F367" t="str">
            <v>BIRMINGHAM INVERNESS</v>
          </cell>
          <cell r="G367" t="str">
            <v>77014001</v>
          </cell>
          <cell r="H367">
            <v>0</v>
          </cell>
          <cell r="I367" t="str">
            <v>AL</v>
          </cell>
        </row>
        <row r="368">
          <cell r="A368" t="str">
            <v>EQUITY LOAN</v>
          </cell>
          <cell r="B368" t="str">
            <v>799045</v>
          </cell>
          <cell r="C368">
            <v>36010</v>
          </cell>
          <cell r="D368" t="str">
            <v>DEC</v>
          </cell>
          <cell r="E368">
            <v>15000</v>
          </cell>
          <cell r="F368" t="str">
            <v>TELEPHONE BANKING - ALABAMA</v>
          </cell>
          <cell r="G368" t="str">
            <v>93001</v>
          </cell>
          <cell r="H368">
            <v>0</v>
          </cell>
          <cell r="I368" t="str">
            <v>AL</v>
          </cell>
        </row>
        <row r="369">
          <cell r="A369" t="str">
            <v>EQUITY LOAN</v>
          </cell>
          <cell r="B369" t="str">
            <v>800732</v>
          </cell>
          <cell r="C369">
            <v>36013</v>
          </cell>
          <cell r="D369" t="str">
            <v>DEC</v>
          </cell>
          <cell r="E369">
            <v>15000</v>
          </cell>
          <cell r="F369" t="str">
            <v>MONTGOMERY DOWNTOWN</v>
          </cell>
          <cell r="G369" t="str">
            <v>77040330</v>
          </cell>
          <cell r="H369">
            <v>0</v>
          </cell>
          <cell r="I369" t="str">
            <v>AL</v>
          </cell>
        </row>
        <row r="370">
          <cell r="A370" t="str">
            <v>EQUITY LOAN</v>
          </cell>
          <cell r="B370" t="str">
            <v>801806</v>
          </cell>
          <cell r="C370">
            <v>36017</v>
          </cell>
          <cell r="D370" t="str">
            <v>DEC</v>
          </cell>
          <cell r="E370">
            <v>15000</v>
          </cell>
          <cell r="F370" t="str">
            <v>MOBILE DAUPHIN ISLAND</v>
          </cell>
          <cell r="G370" t="str">
            <v>77020270</v>
          </cell>
          <cell r="H370">
            <v>0</v>
          </cell>
          <cell r="I370" t="str">
            <v>AL</v>
          </cell>
        </row>
        <row r="371">
          <cell r="A371" t="str">
            <v>EQUITY LOAN</v>
          </cell>
          <cell r="B371" t="str">
            <v>802486</v>
          </cell>
          <cell r="C371">
            <v>36018</v>
          </cell>
          <cell r="D371" t="str">
            <v>DEC</v>
          </cell>
          <cell r="E371">
            <v>15000</v>
          </cell>
          <cell r="F371" t="str">
            <v>JACKSONVILLE EDGEWOOD</v>
          </cell>
          <cell r="G371" t="str">
            <v>65067266</v>
          </cell>
          <cell r="H371">
            <v>0</v>
          </cell>
          <cell r="I371" t="str">
            <v>FL</v>
          </cell>
        </row>
        <row r="372">
          <cell r="A372" t="str">
            <v>EQUITY LOAN</v>
          </cell>
          <cell r="B372" t="str">
            <v>803908</v>
          </cell>
          <cell r="C372">
            <v>36020</v>
          </cell>
          <cell r="D372" t="str">
            <v>DEC</v>
          </cell>
          <cell r="E372">
            <v>15000</v>
          </cell>
          <cell r="F372" t="str">
            <v>J'VILLE FERNANDINA BEACH</v>
          </cell>
          <cell r="G372" t="str">
            <v>65066366</v>
          </cell>
          <cell r="H372">
            <v>0</v>
          </cell>
          <cell r="I372" t="str">
            <v>FL</v>
          </cell>
        </row>
        <row r="373">
          <cell r="A373" t="str">
            <v>EQUITY LOAN</v>
          </cell>
          <cell r="B373" t="str">
            <v>804835</v>
          </cell>
          <cell r="C373">
            <v>36022</v>
          </cell>
          <cell r="D373" t="str">
            <v>DEC</v>
          </cell>
          <cell r="E373">
            <v>15000</v>
          </cell>
          <cell r="F373" t="str">
            <v>TELEPHONE BANKING - ALABAMA</v>
          </cell>
          <cell r="G373" t="str">
            <v>93001</v>
          </cell>
          <cell r="H373">
            <v>0</v>
          </cell>
          <cell r="I373" t="str">
            <v>AL</v>
          </cell>
        </row>
        <row r="374">
          <cell r="A374" t="str">
            <v>EQUITY LOAN</v>
          </cell>
          <cell r="B374" t="str">
            <v>805299</v>
          </cell>
          <cell r="C374">
            <v>36024</v>
          </cell>
          <cell r="D374" t="str">
            <v>DEC</v>
          </cell>
          <cell r="E374">
            <v>15000</v>
          </cell>
          <cell r="F374" t="str">
            <v>MOBILE BEL AIR</v>
          </cell>
          <cell r="G374" t="str">
            <v>77020570</v>
          </cell>
          <cell r="H374">
            <v>0</v>
          </cell>
          <cell r="I374" t="str">
            <v>AL</v>
          </cell>
        </row>
        <row r="375">
          <cell r="A375" t="str">
            <v>EQUITY LOAN</v>
          </cell>
          <cell r="B375" t="str">
            <v>807540</v>
          </cell>
          <cell r="C375">
            <v>36028</v>
          </cell>
          <cell r="D375" t="str">
            <v>DEC</v>
          </cell>
          <cell r="E375">
            <v>15000</v>
          </cell>
          <cell r="F375" t="str">
            <v>MONTGOMERY DOWNTOWN</v>
          </cell>
          <cell r="G375" t="str">
            <v>77040330</v>
          </cell>
          <cell r="H375">
            <v>0</v>
          </cell>
          <cell r="I375" t="str">
            <v>AL</v>
          </cell>
        </row>
        <row r="376">
          <cell r="A376" t="str">
            <v>EQUITY LOAN</v>
          </cell>
          <cell r="B376" t="str">
            <v>814122</v>
          </cell>
          <cell r="C376">
            <v>36041</v>
          </cell>
          <cell r="D376" t="str">
            <v>DEC</v>
          </cell>
          <cell r="E376">
            <v>15000</v>
          </cell>
          <cell r="F376" t="str">
            <v>JACKSONVILLE PONTE VEDRA</v>
          </cell>
          <cell r="G376" t="str">
            <v>65062065</v>
          </cell>
          <cell r="H376">
            <v>0</v>
          </cell>
          <cell r="I376" t="str">
            <v>FL</v>
          </cell>
        </row>
        <row r="377">
          <cell r="A377" t="str">
            <v>EQUITY LOAN</v>
          </cell>
          <cell r="B377" t="str">
            <v>814367</v>
          </cell>
          <cell r="C377">
            <v>36042</v>
          </cell>
          <cell r="D377" t="str">
            <v>DEC</v>
          </cell>
          <cell r="E377">
            <v>15000</v>
          </cell>
          <cell r="F377" t="str">
            <v>MOBILE EIGHT MILE</v>
          </cell>
          <cell r="G377" t="str">
            <v>77020670</v>
          </cell>
          <cell r="H377">
            <v>0</v>
          </cell>
          <cell r="I377" t="str">
            <v>AL</v>
          </cell>
        </row>
        <row r="378">
          <cell r="A378" t="str">
            <v>EQUITY LOAN</v>
          </cell>
          <cell r="B378" t="str">
            <v>815309</v>
          </cell>
          <cell r="C378">
            <v>36046</v>
          </cell>
          <cell r="D378" t="str">
            <v>DEC</v>
          </cell>
          <cell r="E378">
            <v>15000</v>
          </cell>
          <cell r="F378" t="str">
            <v>TELEPHONE BANKING - FLORIDA</v>
          </cell>
          <cell r="G378" t="str">
            <v>93002</v>
          </cell>
          <cell r="H378">
            <v>0</v>
          </cell>
          <cell r="I378" t="str">
            <v>FL</v>
          </cell>
        </row>
        <row r="379">
          <cell r="A379" t="str">
            <v>EQUITY LOAN</v>
          </cell>
          <cell r="B379" t="str">
            <v>817188</v>
          </cell>
          <cell r="C379">
            <v>36049</v>
          </cell>
          <cell r="D379" t="str">
            <v>DEC</v>
          </cell>
          <cell r="E379">
            <v>15000</v>
          </cell>
          <cell r="F379" t="str">
            <v>JACKSONVILLE FORT CAROLINE</v>
          </cell>
          <cell r="G379" t="str">
            <v>65066566</v>
          </cell>
          <cell r="H379">
            <v>0</v>
          </cell>
          <cell r="I379" t="str">
            <v>FL</v>
          </cell>
        </row>
        <row r="380">
          <cell r="A380" t="str">
            <v>EQUITY LOAN</v>
          </cell>
          <cell r="B380" t="str">
            <v>796654</v>
          </cell>
          <cell r="C380">
            <v>36005</v>
          </cell>
          <cell r="D380" t="str">
            <v>DEC</v>
          </cell>
          <cell r="E380">
            <v>14900</v>
          </cell>
          <cell r="F380" t="str">
            <v>MONTGOMERY DOWNTOWN</v>
          </cell>
          <cell r="G380" t="str">
            <v>77040330</v>
          </cell>
          <cell r="H380">
            <v>0</v>
          </cell>
          <cell r="I380" t="str">
            <v>AL</v>
          </cell>
        </row>
        <row r="381">
          <cell r="A381" t="str">
            <v>EQUITY LOAN</v>
          </cell>
          <cell r="B381" t="str">
            <v>798883</v>
          </cell>
          <cell r="C381">
            <v>36010</v>
          </cell>
          <cell r="D381" t="str">
            <v>DEC</v>
          </cell>
          <cell r="E381">
            <v>14000</v>
          </cell>
          <cell r="F381" t="str">
            <v>MOBILE SKYLINE</v>
          </cell>
          <cell r="G381" t="str">
            <v>77021570</v>
          </cell>
          <cell r="H381">
            <v>0</v>
          </cell>
          <cell r="I381" t="str">
            <v>AL</v>
          </cell>
        </row>
        <row r="382">
          <cell r="A382" t="str">
            <v>EQUITY LOAN</v>
          </cell>
          <cell r="B382" t="str">
            <v>810877</v>
          </cell>
          <cell r="C382">
            <v>36035</v>
          </cell>
          <cell r="D382" t="str">
            <v>DEC</v>
          </cell>
          <cell r="E382">
            <v>12500</v>
          </cell>
          <cell r="F382" t="str">
            <v>MONTGOMERY NORMANDALE</v>
          </cell>
          <cell r="G382" t="str">
            <v>77040430</v>
          </cell>
          <cell r="H382">
            <v>0</v>
          </cell>
          <cell r="I382" t="str">
            <v>AL</v>
          </cell>
        </row>
        <row r="383">
          <cell r="A383" t="str">
            <v>EQUITY LOAN</v>
          </cell>
          <cell r="B383" t="str">
            <v>802481</v>
          </cell>
          <cell r="C383">
            <v>36018</v>
          </cell>
          <cell r="D383" t="str">
            <v>DEC</v>
          </cell>
          <cell r="E383">
            <v>12000</v>
          </cell>
          <cell r="F383" t="str">
            <v>TELEPHONE BANKING - FLORIDA</v>
          </cell>
          <cell r="G383" t="str">
            <v>93002</v>
          </cell>
          <cell r="H383">
            <v>0</v>
          </cell>
          <cell r="I383" t="str">
            <v>FL</v>
          </cell>
        </row>
        <row r="384">
          <cell r="A384" t="str">
            <v>EQUITY LOAN</v>
          </cell>
          <cell r="B384" t="str">
            <v>820420</v>
          </cell>
          <cell r="C384">
            <v>36056</v>
          </cell>
          <cell r="D384" t="str">
            <v>DEC</v>
          </cell>
          <cell r="E384">
            <v>11000</v>
          </cell>
          <cell r="F384" t="str">
            <v>TELEPHONE BANKING - ALABAMA</v>
          </cell>
          <cell r="G384" t="str">
            <v>93001</v>
          </cell>
          <cell r="H384">
            <v>0</v>
          </cell>
          <cell r="I384" t="str">
            <v>AL</v>
          </cell>
        </row>
        <row r="385">
          <cell r="A385" t="str">
            <v>EQUITY LOAN</v>
          </cell>
          <cell r="B385" t="str">
            <v>795588</v>
          </cell>
          <cell r="C385">
            <v>36003</v>
          </cell>
          <cell r="D385" t="str">
            <v>DEC</v>
          </cell>
          <cell r="E385">
            <v>10000</v>
          </cell>
          <cell r="F385" t="str">
            <v>MOBILE CRICHTON</v>
          </cell>
          <cell r="G385" t="str">
            <v>77021270</v>
          </cell>
          <cell r="H385">
            <v>0</v>
          </cell>
          <cell r="I385" t="str">
            <v>AL</v>
          </cell>
        </row>
        <row r="386">
          <cell r="A386" t="str">
            <v>EQUITY LOAN</v>
          </cell>
          <cell r="B386" t="str">
            <v>796405</v>
          </cell>
          <cell r="C386">
            <v>36004</v>
          </cell>
          <cell r="D386" t="str">
            <v>DEC</v>
          </cell>
          <cell r="E386">
            <v>10000</v>
          </cell>
          <cell r="F386" t="str">
            <v>BIRMINGHAM INVERNESS</v>
          </cell>
          <cell r="G386" t="str">
            <v>77014001</v>
          </cell>
          <cell r="H386">
            <v>0</v>
          </cell>
          <cell r="I386" t="str">
            <v>AL</v>
          </cell>
        </row>
        <row r="387">
          <cell r="A387" t="str">
            <v>EQUITY LOAN</v>
          </cell>
          <cell r="B387" t="str">
            <v>798891</v>
          </cell>
          <cell r="C387">
            <v>36010</v>
          </cell>
          <cell r="D387" t="str">
            <v>DEC</v>
          </cell>
          <cell r="E387">
            <v>10000</v>
          </cell>
          <cell r="F387" t="str">
            <v>JACKSONVILLE ARGYLE</v>
          </cell>
          <cell r="G387" t="str">
            <v>65065766</v>
          </cell>
          <cell r="H387">
            <v>0</v>
          </cell>
          <cell r="I387" t="str">
            <v>FL</v>
          </cell>
        </row>
        <row r="388">
          <cell r="A388" t="str">
            <v>EQUITY LOAN</v>
          </cell>
          <cell r="B388" t="str">
            <v>799900</v>
          </cell>
          <cell r="C388">
            <v>36012</v>
          </cell>
          <cell r="D388" t="str">
            <v>DEC</v>
          </cell>
          <cell r="E388">
            <v>10000</v>
          </cell>
          <cell r="F388" t="str">
            <v>JACKSONVILLE NORTHSIDE</v>
          </cell>
          <cell r="G388" t="str">
            <v>65062765</v>
          </cell>
          <cell r="H388">
            <v>0</v>
          </cell>
          <cell r="I388" t="str">
            <v>FL</v>
          </cell>
        </row>
        <row r="389">
          <cell r="A389" t="str">
            <v>EQUITY LOAN</v>
          </cell>
          <cell r="B389" t="str">
            <v>807647</v>
          </cell>
          <cell r="C389">
            <v>36028</v>
          </cell>
          <cell r="D389" t="str">
            <v>DEC</v>
          </cell>
          <cell r="E389">
            <v>10000</v>
          </cell>
          <cell r="F389" t="str">
            <v>MOBILE GARDEN DISTRICT</v>
          </cell>
          <cell r="G389" t="str">
            <v>77021470</v>
          </cell>
          <cell r="H389">
            <v>0</v>
          </cell>
          <cell r="I389" t="str">
            <v>AL</v>
          </cell>
        </row>
        <row r="390">
          <cell r="A390" t="str">
            <v>EQUITY LOAN</v>
          </cell>
          <cell r="B390" t="str">
            <v>813392</v>
          </cell>
          <cell r="C390">
            <v>36040</v>
          </cell>
          <cell r="D390" t="str">
            <v>DEC</v>
          </cell>
          <cell r="E390">
            <v>10000</v>
          </cell>
          <cell r="F390" t="str">
            <v>MOBILE BEL AIR</v>
          </cell>
          <cell r="G390" t="str">
            <v>77020570</v>
          </cell>
          <cell r="H390">
            <v>0</v>
          </cell>
          <cell r="I390" t="str">
            <v>AL</v>
          </cell>
        </row>
        <row r="391">
          <cell r="A391" t="str">
            <v>EQUITY LOAN</v>
          </cell>
          <cell r="B391" t="str">
            <v>816418</v>
          </cell>
          <cell r="C391">
            <v>36047</v>
          </cell>
          <cell r="D391" t="str">
            <v>DEC</v>
          </cell>
          <cell r="E391">
            <v>10000</v>
          </cell>
          <cell r="F391" t="str">
            <v>MOBILE EIGHT MILE</v>
          </cell>
          <cell r="G391" t="str">
            <v>77020670</v>
          </cell>
          <cell r="H391">
            <v>0</v>
          </cell>
          <cell r="I391" t="str">
            <v>AL</v>
          </cell>
        </row>
        <row r="392">
          <cell r="A392" t="str">
            <v>EQUITY LOAN</v>
          </cell>
          <cell r="B392" t="str">
            <v>819446</v>
          </cell>
          <cell r="C392">
            <v>36054</v>
          </cell>
          <cell r="D392" t="str">
            <v>DEC</v>
          </cell>
          <cell r="E392">
            <v>10000</v>
          </cell>
          <cell r="F392" t="str">
            <v>TELEPHONE BANKING - ALABAMA</v>
          </cell>
          <cell r="G392" t="str">
            <v>93001</v>
          </cell>
          <cell r="H392">
            <v>0</v>
          </cell>
          <cell r="I392" t="str">
            <v>AL</v>
          </cell>
        </row>
        <row r="393">
          <cell r="A393" t="str">
            <v>EQUITY LOAN</v>
          </cell>
          <cell r="B393" t="str">
            <v>819499</v>
          </cell>
          <cell r="C393">
            <v>36054</v>
          </cell>
          <cell r="D393" t="str">
            <v>DEC</v>
          </cell>
          <cell r="E393">
            <v>10000</v>
          </cell>
          <cell r="F393" t="str">
            <v>JACKSONVILLE BEACH</v>
          </cell>
          <cell r="G393" t="str">
            <v>65067166</v>
          </cell>
          <cell r="H393">
            <v>0</v>
          </cell>
          <cell r="I393" t="str">
            <v>FL</v>
          </cell>
        </row>
        <row r="394">
          <cell r="A394" t="str">
            <v>EQUITY LOAN</v>
          </cell>
          <cell r="B394" t="str">
            <v>819872</v>
          </cell>
          <cell r="C394">
            <v>36055</v>
          </cell>
          <cell r="D394" t="str">
            <v>DEC</v>
          </cell>
          <cell r="E394">
            <v>10000</v>
          </cell>
          <cell r="F394" t="str">
            <v>TELEPHONE BANKING - ALABAMA</v>
          </cell>
          <cell r="G394" t="str">
            <v>93001</v>
          </cell>
          <cell r="H394">
            <v>0</v>
          </cell>
          <cell r="I394" t="str">
            <v>AL</v>
          </cell>
        </row>
        <row r="395">
          <cell r="A395" t="str">
            <v>EQUITY LOAN</v>
          </cell>
          <cell r="B395" t="str">
            <v>819939</v>
          </cell>
          <cell r="C395">
            <v>36055</v>
          </cell>
          <cell r="D395" t="str">
            <v>DEC</v>
          </cell>
          <cell r="E395">
            <v>10000</v>
          </cell>
          <cell r="F395" t="str">
            <v>BIRMINGHAM LEEDS</v>
          </cell>
          <cell r="G395" t="str">
            <v>77010801</v>
          </cell>
          <cell r="H395">
            <v>0</v>
          </cell>
          <cell r="I395" t="str">
            <v>AL</v>
          </cell>
        </row>
        <row r="396">
          <cell r="A396" t="str">
            <v>EQUITY LOAN</v>
          </cell>
          <cell r="B396" t="str">
            <v>818750</v>
          </cell>
          <cell r="C396">
            <v>36053</v>
          </cell>
          <cell r="D396" t="str">
            <v>DEC</v>
          </cell>
          <cell r="E396">
            <v>9500</v>
          </cell>
          <cell r="F396" t="str">
            <v>TELEPHONE BANKING - WEB AL</v>
          </cell>
          <cell r="G396" t="str">
            <v>93009</v>
          </cell>
          <cell r="H396">
            <v>0</v>
          </cell>
          <cell r="I396" t="str">
            <v>AL</v>
          </cell>
        </row>
        <row r="397">
          <cell r="A397" t="str">
            <v>EQUITY LOAN</v>
          </cell>
          <cell r="B397" t="str">
            <v>798911</v>
          </cell>
          <cell r="C397">
            <v>36010</v>
          </cell>
          <cell r="D397" t="str">
            <v>DEC</v>
          </cell>
          <cell r="E397">
            <v>9000</v>
          </cell>
          <cell r="F397" t="str">
            <v>MOBILE COTTAGE HILL</v>
          </cell>
          <cell r="G397" t="str">
            <v>77021870</v>
          </cell>
          <cell r="H397">
            <v>0</v>
          </cell>
          <cell r="I397" t="str">
            <v>AL</v>
          </cell>
        </row>
        <row r="398">
          <cell r="A398" t="str">
            <v>EQUITY LOAN</v>
          </cell>
          <cell r="B398" t="str">
            <v>810032</v>
          </cell>
          <cell r="C398">
            <v>36033</v>
          </cell>
          <cell r="D398" t="str">
            <v>DEC</v>
          </cell>
          <cell r="E398">
            <v>6000</v>
          </cell>
          <cell r="F398" t="str">
            <v>TELEPHONE BANKING - FLORIDA</v>
          </cell>
          <cell r="G398" t="str">
            <v>93002</v>
          </cell>
          <cell r="H398">
            <v>0</v>
          </cell>
          <cell r="I398" t="str">
            <v>FL</v>
          </cell>
        </row>
        <row r="399">
          <cell r="A399" t="str">
            <v>EQUITY LOAN</v>
          </cell>
          <cell r="B399" t="str">
            <v>810321</v>
          </cell>
          <cell r="C399">
            <v>36033</v>
          </cell>
          <cell r="D399" t="str">
            <v>DEC</v>
          </cell>
          <cell r="E399">
            <v>3200</v>
          </cell>
          <cell r="F399" t="str">
            <v>TELEPHONE BANKING - ALABAMA</v>
          </cell>
          <cell r="G399" t="str">
            <v>93001</v>
          </cell>
          <cell r="H399">
            <v>0</v>
          </cell>
          <cell r="I399" t="str">
            <v>AL</v>
          </cell>
        </row>
        <row r="400">
          <cell r="A400" t="str">
            <v>EQUITY LOAN</v>
          </cell>
          <cell r="B400" t="str">
            <v>807357</v>
          </cell>
          <cell r="C400">
            <v>36027</v>
          </cell>
          <cell r="D400" t="str">
            <v>PEND</v>
          </cell>
          <cell r="E400">
            <v>0</v>
          </cell>
          <cell r="F400" t="str">
            <v>TELEPHONE BANKING - ALABAMA</v>
          </cell>
          <cell r="G400" t="str">
            <v>93001</v>
          </cell>
          <cell r="H400">
            <v>0</v>
          </cell>
          <cell r="I400" t="str">
            <v>AL</v>
          </cell>
        </row>
        <row r="401">
          <cell r="A401" t="str">
            <v>EQUITY LOAN</v>
          </cell>
          <cell r="B401" t="str">
            <v>813798</v>
          </cell>
          <cell r="C401">
            <v>36041</v>
          </cell>
          <cell r="D401" t="str">
            <v>PEND</v>
          </cell>
          <cell r="E401">
            <v>0</v>
          </cell>
          <cell r="F401" t="str">
            <v>TELEPHONE BANKING - ALABAMA</v>
          </cell>
          <cell r="G401" t="str">
            <v>93001</v>
          </cell>
          <cell r="H401">
            <v>0</v>
          </cell>
          <cell r="I401" t="str">
            <v>AL</v>
          </cell>
        </row>
        <row r="402">
          <cell r="A402" t="str">
            <v>EQUITY LOAN</v>
          </cell>
          <cell r="B402" t="str">
            <v>815840</v>
          </cell>
          <cell r="C402">
            <v>36046</v>
          </cell>
          <cell r="D402" t="str">
            <v>PEND</v>
          </cell>
          <cell r="E402">
            <v>0</v>
          </cell>
          <cell r="F402" t="str">
            <v>TELEPHONE BANKING - ALABAMA</v>
          </cell>
          <cell r="G402" t="str">
            <v>93001</v>
          </cell>
          <cell r="H402">
            <v>0</v>
          </cell>
          <cell r="I402" t="str">
            <v>AL</v>
          </cell>
        </row>
        <row r="403">
          <cell r="A403" t="str">
            <v>EQUITY LOAN</v>
          </cell>
          <cell r="B403" t="str">
            <v>817974</v>
          </cell>
          <cell r="C403">
            <v>36052</v>
          </cell>
          <cell r="D403" t="str">
            <v>PEND</v>
          </cell>
          <cell r="E403">
            <v>0</v>
          </cell>
          <cell r="F403" t="str">
            <v>MOBILE DAUPHIN ISLAND</v>
          </cell>
          <cell r="G403" t="str">
            <v>77020270</v>
          </cell>
          <cell r="H403">
            <v>0</v>
          </cell>
          <cell r="I403" t="str">
            <v>AL</v>
          </cell>
        </row>
        <row r="404">
          <cell r="A404" t="str">
            <v>EQUITY LOAN</v>
          </cell>
          <cell r="B404" t="str">
            <v>818619</v>
          </cell>
          <cell r="C404">
            <v>36053</v>
          </cell>
          <cell r="D404" t="str">
            <v>PEND</v>
          </cell>
          <cell r="E404">
            <v>0</v>
          </cell>
          <cell r="F404" t="str">
            <v>TELEPHONE BANKING - ALABAMA</v>
          </cell>
          <cell r="G404" t="str">
            <v>93001</v>
          </cell>
          <cell r="H404">
            <v>0</v>
          </cell>
          <cell r="I404" t="str">
            <v>AL</v>
          </cell>
        </row>
        <row r="405">
          <cell r="A405" t="str">
            <v>EQUITY LOAN</v>
          </cell>
          <cell r="B405" t="str">
            <v>794883</v>
          </cell>
          <cell r="C405">
            <v>36000</v>
          </cell>
          <cell r="D405" t="str">
            <v>WITH</v>
          </cell>
          <cell r="E405">
            <v>200000</v>
          </cell>
          <cell r="F405" t="str">
            <v>MOBILE EIGHT MILE</v>
          </cell>
          <cell r="G405" t="str">
            <v>77020670</v>
          </cell>
          <cell r="H405">
            <v>0</v>
          </cell>
          <cell r="I405" t="str">
            <v>AL</v>
          </cell>
        </row>
        <row r="406">
          <cell r="A406" t="str">
            <v>EQUITY LOAN</v>
          </cell>
          <cell r="B406" t="str">
            <v>802322</v>
          </cell>
          <cell r="C406">
            <v>36017</v>
          </cell>
          <cell r="D406" t="str">
            <v>WITH</v>
          </cell>
          <cell r="E406">
            <v>100000</v>
          </cell>
          <cell r="F406" t="str">
            <v>TELEPHONE BANKING - ALABAMA</v>
          </cell>
          <cell r="G406" t="str">
            <v>93001</v>
          </cell>
          <cell r="H406">
            <v>0</v>
          </cell>
          <cell r="I406" t="str">
            <v>AL</v>
          </cell>
        </row>
        <row r="407">
          <cell r="A407" t="str">
            <v>EQUITY LOAN</v>
          </cell>
          <cell r="B407" t="str">
            <v>796442</v>
          </cell>
          <cell r="C407">
            <v>36004</v>
          </cell>
          <cell r="D407" t="str">
            <v>WITH</v>
          </cell>
          <cell r="E407">
            <v>92000</v>
          </cell>
          <cell r="F407" t="str">
            <v>TELEPHONE BANKING - FLORIDA</v>
          </cell>
          <cell r="G407" t="str">
            <v>93002</v>
          </cell>
          <cell r="H407">
            <v>0</v>
          </cell>
          <cell r="I407" t="str">
            <v>FL</v>
          </cell>
        </row>
        <row r="408">
          <cell r="A408" t="str">
            <v>EQUITY LOAN</v>
          </cell>
          <cell r="B408" t="str">
            <v>795606</v>
          </cell>
          <cell r="C408">
            <v>36003</v>
          </cell>
          <cell r="D408" t="str">
            <v>WITH</v>
          </cell>
          <cell r="E408">
            <v>87500</v>
          </cell>
          <cell r="F408" t="str">
            <v>BIRMINGHAM MARKETPLACE</v>
          </cell>
          <cell r="G408" t="str">
            <v>77012701</v>
          </cell>
          <cell r="H408">
            <v>0</v>
          </cell>
          <cell r="I408" t="str">
            <v>AL</v>
          </cell>
        </row>
        <row r="409">
          <cell r="A409" t="str">
            <v>EQUITY LOAN</v>
          </cell>
          <cell r="B409" t="str">
            <v>798937</v>
          </cell>
          <cell r="C409">
            <v>36010</v>
          </cell>
          <cell r="D409" t="str">
            <v>WITH</v>
          </cell>
          <cell r="E409">
            <v>70000</v>
          </cell>
          <cell r="F409" t="str">
            <v>TELEPHONE BANKING - ALABAMA</v>
          </cell>
          <cell r="G409" t="str">
            <v>93001</v>
          </cell>
          <cell r="H409">
            <v>0</v>
          </cell>
          <cell r="I409" t="str">
            <v>AL</v>
          </cell>
        </row>
        <row r="410">
          <cell r="A410" t="str">
            <v>EQUITY LOAN</v>
          </cell>
          <cell r="B410" t="str">
            <v>819137</v>
          </cell>
          <cell r="C410">
            <v>36054</v>
          </cell>
          <cell r="D410" t="str">
            <v>WITH</v>
          </cell>
          <cell r="E410">
            <v>65000</v>
          </cell>
          <cell r="F410" t="str">
            <v>MONTGOMERY FOREST HILLS</v>
          </cell>
          <cell r="G410" t="str">
            <v>77040530</v>
          </cell>
          <cell r="H410">
            <v>0</v>
          </cell>
          <cell r="I410" t="str">
            <v>AL</v>
          </cell>
        </row>
        <row r="411">
          <cell r="A411" t="str">
            <v>EQUITY LOAN</v>
          </cell>
          <cell r="B411" t="str">
            <v>811719</v>
          </cell>
          <cell r="C411">
            <v>36038</v>
          </cell>
          <cell r="D411" t="str">
            <v>WITH</v>
          </cell>
          <cell r="E411">
            <v>45000</v>
          </cell>
          <cell r="F411" t="str">
            <v>MOBILE EIGHT MILE</v>
          </cell>
          <cell r="G411" t="str">
            <v>77020670</v>
          </cell>
          <cell r="H411">
            <v>0</v>
          </cell>
          <cell r="I411" t="str">
            <v>AL</v>
          </cell>
        </row>
        <row r="412">
          <cell r="A412" t="str">
            <v>EQUITY LOAN</v>
          </cell>
          <cell r="B412" t="str">
            <v>800096</v>
          </cell>
          <cell r="C412">
            <v>36012</v>
          </cell>
          <cell r="D412" t="str">
            <v>WITH</v>
          </cell>
          <cell r="E412">
            <v>42000</v>
          </cell>
          <cell r="F412" t="str">
            <v>TELEPHONE BANKING - ALABAMA</v>
          </cell>
          <cell r="G412" t="str">
            <v>93001</v>
          </cell>
          <cell r="H412">
            <v>0</v>
          </cell>
          <cell r="I412" t="str">
            <v>AL</v>
          </cell>
        </row>
        <row r="413">
          <cell r="A413" t="str">
            <v>EQUITY LOAN</v>
          </cell>
          <cell r="B413" t="str">
            <v>803191</v>
          </cell>
          <cell r="C413">
            <v>36019</v>
          </cell>
          <cell r="D413" t="str">
            <v>WITH</v>
          </cell>
          <cell r="E413">
            <v>40000</v>
          </cell>
          <cell r="F413" t="str">
            <v>BIRMINGHAM WARRIOR</v>
          </cell>
          <cell r="G413" t="str">
            <v>77011001</v>
          </cell>
          <cell r="H413">
            <v>0</v>
          </cell>
          <cell r="I413" t="str">
            <v>AL</v>
          </cell>
        </row>
        <row r="414">
          <cell r="A414" t="str">
            <v>EQUITY LOAN</v>
          </cell>
          <cell r="B414" t="str">
            <v>818694</v>
          </cell>
          <cell r="C414">
            <v>36053</v>
          </cell>
          <cell r="D414" t="str">
            <v>WITH</v>
          </cell>
          <cell r="E414">
            <v>40000</v>
          </cell>
          <cell r="F414" t="str">
            <v>JACKSONVILLE NORTHSIDE</v>
          </cell>
          <cell r="G414" t="str">
            <v>65062765</v>
          </cell>
          <cell r="H414">
            <v>0</v>
          </cell>
          <cell r="I414" t="str">
            <v>FL</v>
          </cell>
        </row>
        <row r="415">
          <cell r="A415" t="str">
            <v>EQUITY LOAN</v>
          </cell>
          <cell r="B415" t="str">
            <v>794905</v>
          </cell>
          <cell r="C415">
            <v>36000</v>
          </cell>
          <cell r="D415" t="str">
            <v>WITH</v>
          </cell>
          <cell r="E415">
            <v>31000</v>
          </cell>
          <cell r="F415" t="str">
            <v>BIRMINGHAM MARKETPLACE</v>
          </cell>
          <cell r="G415" t="str">
            <v>77012701</v>
          </cell>
          <cell r="H415">
            <v>0</v>
          </cell>
          <cell r="I415" t="str">
            <v>AL</v>
          </cell>
        </row>
        <row r="416">
          <cell r="A416" t="str">
            <v>EQUITY LOAN</v>
          </cell>
          <cell r="B416" t="str">
            <v>817323</v>
          </cell>
          <cell r="C416">
            <v>36049</v>
          </cell>
          <cell r="D416" t="str">
            <v>WITH</v>
          </cell>
          <cell r="E416">
            <v>30334</v>
          </cell>
          <cell r="F416" t="str">
            <v>HUNTSVILLE HAYSLAND SQUARE</v>
          </cell>
          <cell r="G416" t="str">
            <v>77038602</v>
          </cell>
          <cell r="H416">
            <v>0</v>
          </cell>
          <cell r="I416" t="str">
            <v>AL</v>
          </cell>
        </row>
        <row r="417">
          <cell r="A417" t="str">
            <v>EQUITY LOAN</v>
          </cell>
          <cell r="B417" t="str">
            <v>795598</v>
          </cell>
          <cell r="C417">
            <v>36003</v>
          </cell>
          <cell r="D417" t="str">
            <v>WITH</v>
          </cell>
          <cell r="E417">
            <v>30000</v>
          </cell>
          <cell r="F417" t="str">
            <v>MONTGOMERY MAIN</v>
          </cell>
          <cell r="G417" t="str">
            <v>77042630</v>
          </cell>
          <cell r="H417">
            <v>0</v>
          </cell>
          <cell r="I417" t="str">
            <v>AL</v>
          </cell>
        </row>
        <row r="418">
          <cell r="A418" t="str">
            <v>EQUITY LOAN</v>
          </cell>
          <cell r="B418" t="str">
            <v>799347</v>
          </cell>
          <cell r="C418">
            <v>36011</v>
          </cell>
          <cell r="D418" t="str">
            <v>WITH</v>
          </cell>
          <cell r="E418">
            <v>25000</v>
          </cell>
          <cell r="F418" t="str">
            <v>TELEPHONE BANKING - FLORIDA</v>
          </cell>
          <cell r="G418" t="str">
            <v>93002</v>
          </cell>
          <cell r="H418">
            <v>0</v>
          </cell>
          <cell r="I418" t="str">
            <v>FL</v>
          </cell>
        </row>
        <row r="419">
          <cell r="A419" t="str">
            <v>EQUITY LOAN</v>
          </cell>
          <cell r="B419" t="str">
            <v>810973</v>
          </cell>
          <cell r="C419">
            <v>36035</v>
          </cell>
          <cell r="D419" t="str">
            <v>WITH</v>
          </cell>
          <cell r="E419">
            <v>25000</v>
          </cell>
          <cell r="F419" t="str">
            <v>BIRMINGHAM HOOVER</v>
          </cell>
          <cell r="G419" t="str">
            <v>77011501</v>
          </cell>
          <cell r="H419">
            <v>0</v>
          </cell>
          <cell r="I419" t="str">
            <v>AL</v>
          </cell>
        </row>
        <row r="420">
          <cell r="A420" t="str">
            <v>EQUITY LOAN</v>
          </cell>
          <cell r="B420" t="str">
            <v>813717</v>
          </cell>
          <cell r="C420">
            <v>36041</v>
          </cell>
          <cell r="D420" t="str">
            <v>WITH</v>
          </cell>
          <cell r="E420">
            <v>25000</v>
          </cell>
          <cell r="F420" t="str">
            <v>MOBILE GARDEN DISTRICT</v>
          </cell>
          <cell r="G420" t="str">
            <v>77021470</v>
          </cell>
          <cell r="H420">
            <v>0</v>
          </cell>
          <cell r="I420" t="str">
            <v>AL</v>
          </cell>
        </row>
        <row r="421">
          <cell r="A421" t="str">
            <v>EQUITY LOAN</v>
          </cell>
          <cell r="B421" t="str">
            <v>813709</v>
          </cell>
          <cell r="C421">
            <v>36041</v>
          </cell>
          <cell r="D421" t="str">
            <v>WITH</v>
          </cell>
          <cell r="E421">
            <v>20000</v>
          </cell>
          <cell r="F421" t="str">
            <v>HUNTSVILLE GOVERNOR'S DRIVE</v>
          </cell>
          <cell r="G421" t="str">
            <v>77032302</v>
          </cell>
          <cell r="H421">
            <v>0</v>
          </cell>
          <cell r="I421" t="str">
            <v>AL</v>
          </cell>
        </row>
        <row r="422">
          <cell r="A422" t="str">
            <v>EQUITY LOAN</v>
          </cell>
          <cell r="B422" t="str">
            <v>815552</v>
          </cell>
          <cell r="C422">
            <v>36046</v>
          </cell>
          <cell r="D422" t="str">
            <v>WITH</v>
          </cell>
          <cell r="E422">
            <v>20000</v>
          </cell>
          <cell r="F422" t="str">
            <v>BIRMINGHAM MIDFAIR</v>
          </cell>
          <cell r="G422" t="str">
            <v>77010301</v>
          </cell>
          <cell r="H422">
            <v>0</v>
          </cell>
          <cell r="I422" t="str">
            <v>AL</v>
          </cell>
        </row>
        <row r="423">
          <cell r="A423" t="str">
            <v>EQUITY LOAN</v>
          </cell>
          <cell r="B423" t="str">
            <v>796274</v>
          </cell>
          <cell r="C423">
            <v>36004</v>
          </cell>
          <cell r="D423" t="str">
            <v>WITH</v>
          </cell>
          <cell r="E423">
            <v>16000</v>
          </cell>
          <cell r="F423" t="str">
            <v>TELEPHONE BANKING - FLORIDA</v>
          </cell>
          <cell r="G423" t="str">
            <v>93002</v>
          </cell>
          <cell r="H423">
            <v>0</v>
          </cell>
          <cell r="I423" t="str">
            <v>FL</v>
          </cell>
        </row>
        <row r="424">
          <cell r="A424" t="str">
            <v>EQUITY LOAN</v>
          </cell>
          <cell r="B424" t="str">
            <v>816621</v>
          </cell>
          <cell r="C424">
            <v>36048</v>
          </cell>
          <cell r="D424" t="str">
            <v>WITH</v>
          </cell>
          <cell r="E424">
            <v>16000</v>
          </cell>
          <cell r="F424" t="str">
            <v>FORT WALTON MARY ESTHER</v>
          </cell>
          <cell r="G424" t="str">
            <v>65065665</v>
          </cell>
          <cell r="H424">
            <v>0</v>
          </cell>
          <cell r="I424" t="str">
            <v>FL</v>
          </cell>
        </row>
        <row r="425">
          <cell r="A425" t="str">
            <v>EQUITY LOAN</v>
          </cell>
          <cell r="B425" t="str">
            <v>797831</v>
          </cell>
          <cell r="C425">
            <v>36007</v>
          </cell>
          <cell r="D425" t="str">
            <v>WITH</v>
          </cell>
          <cell r="E425">
            <v>15000</v>
          </cell>
          <cell r="F425" t="str">
            <v>MOBILE BEL AIR</v>
          </cell>
          <cell r="G425" t="str">
            <v>77020570</v>
          </cell>
          <cell r="H425">
            <v>0</v>
          </cell>
          <cell r="I425" t="str">
            <v>AL</v>
          </cell>
        </row>
        <row r="426">
          <cell r="A426" t="str">
            <v>EQUITY LOAN</v>
          </cell>
          <cell r="B426" t="str">
            <v>804645</v>
          </cell>
          <cell r="C426">
            <v>36021</v>
          </cell>
          <cell r="D426" t="str">
            <v>WITH</v>
          </cell>
          <cell r="E426">
            <v>15000</v>
          </cell>
          <cell r="F426" t="str">
            <v>TELEPHONE BANKING - ALABAMA</v>
          </cell>
          <cell r="G426" t="str">
            <v>93001</v>
          </cell>
          <cell r="H426">
            <v>0</v>
          </cell>
          <cell r="I426" t="str">
            <v>AL</v>
          </cell>
        </row>
        <row r="427">
          <cell r="A427" t="str">
            <v>EQUITY LOAN</v>
          </cell>
          <cell r="B427" t="str">
            <v>806465</v>
          </cell>
          <cell r="C427">
            <v>36026</v>
          </cell>
          <cell r="D427" t="str">
            <v>WITH</v>
          </cell>
          <cell r="E427">
            <v>13500</v>
          </cell>
          <cell r="F427" t="str">
            <v>TELEPHONE BANKING - ALABAMA</v>
          </cell>
          <cell r="G427" t="str">
            <v>93001</v>
          </cell>
          <cell r="H427">
            <v>0</v>
          </cell>
          <cell r="I427" t="str">
            <v>AL</v>
          </cell>
        </row>
        <row r="428">
          <cell r="A428" t="str">
            <v>EQUITY LOAN</v>
          </cell>
          <cell r="B428" t="str">
            <v>799869</v>
          </cell>
          <cell r="C428">
            <v>36011</v>
          </cell>
          <cell r="D428" t="str">
            <v>WITH</v>
          </cell>
          <cell r="E428">
            <v>10000</v>
          </cell>
          <cell r="F428" t="str">
            <v>TELEPHONE BANKING - ALABAMA</v>
          </cell>
          <cell r="G428" t="str">
            <v>93001</v>
          </cell>
          <cell r="H428">
            <v>0</v>
          </cell>
          <cell r="I428" t="str">
            <v>AL</v>
          </cell>
        </row>
        <row r="429">
          <cell r="A429" t="str">
            <v>EQUITY LOAN</v>
          </cell>
          <cell r="B429" t="str">
            <v>819299</v>
          </cell>
          <cell r="C429">
            <v>36054</v>
          </cell>
          <cell r="D429" t="str">
            <v>WITH</v>
          </cell>
          <cell r="E429">
            <v>10000</v>
          </cell>
          <cell r="F429" t="str">
            <v>TELEPHONE BANKING - ALABAMA</v>
          </cell>
          <cell r="G429" t="str">
            <v>93001</v>
          </cell>
          <cell r="H429">
            <v>0</v>
          </cell>
          <cell r="I429" t="str">
            <v>AL</v>
          </cell>
        </row>
        <row r="430">
          <cell r="A430" t="str">
            <v>EQUITY LOAN</v>
          </cell>
          <cell r="B430" t="str">
            <v>811098</v>
          </cell>
          <cell r="C430">
            <v>36035</v>
          </cell>
          <cell r="D430" t="str">
            <v>WITH</v>
          </cell>
          <cell r="E430">
            <v>5000</v>
          </cell>
          <cell r="F430" t="str">
            <v>MOBILE BEL AIR</v>
          </cell>
          <cell r="G430" t="str">
            <v>77020570</v>
          </cell>
          <cell r="H430">
            <v>0</v>
          </cell>
          <cell r="I430" t="str">
            <v>AL</v>
          </cell>
        </row>
      </sheetData>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Branch"/>
      <sheetName val="By Region"/>
      <sheetName val="Bank Total"/>
      <sheetName val="Regions Summary"/>
      <sheetName val="Product Summary"/>
      <sheetName val="To Presentation"/>
      <sheetName val="Data"/>
      <sheetName val="Branches"/>
      <sheetName val="Stat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B2" t="str">
            <v>0001</v>
          </cell>
          <cell r="C2" t="str">
            <v xml:space="preserve">LAREDO-MAIN BANK          </v>
          </cell>
          <cell r="D2">
            <v>1</v>
          </cell>
        </row>
        <row r="3">
          <cell r="B3" t="str">
            <v>0002</v>
          </cell>
          <cell r="C3" t="str">
            <v xml:space="preserve">LAREDO-MCPHERSON          </v>
          </cell>
          <cell r="D3">
            <v>1</v>
          </cell>
          <cell r="H3" t="str">
            <v>ATV55</v>
          </cell>
          <cell r="I3">
            <v>1</v>
          </cell>
          <cell r="J3" t="str">
            <v>LNB INTERNAL ACCOU</v>
          </cell>
          <cell r="K3" t="str">
            <v>N/A</v>
          </cell>
          <cell r="M3" t="str">
            <v>31</v>
          </cell>
          <cell r="N3" t="str">
            <v>SV</v>
          </cell>
        </row>
        <row r="4">
          <cell r="B4" t="str">
            <v>0003</v>
          </cell>
          <cell r="C4" t="str">
            <v xml:space="preserve">CC-AYERS                  </v>
          </cell>
          <cell r="D4">
            <v>4</v>
          </cell>
          <cell r="H4" t="str">
            <v>PTV01</v>
          </cell>
          <cell r="I4">
            <v>2</v>
          </cell>
          <cell r="J4" t="str">
            <v>DDA</v>
          </cell>
          <cell r="M4" t="str">
            <v>32</v>
          </cell>
          <cell r="N4" t="str">
            <v>CD</v>
          </cell>
        </row>
        <row r="5">
          <cell r="B5" t="str">
            <v>0004</v>
          </cell>
          <cell r="C5" t="str">
            <v xml:space="preserve">LAREDO-UNIVERSITY         </v>
          </cell>
          <cell r="D5">
            <v>1</v>
          </cell>
          <cell r="H5" t="str">
            <v>PTV02</v>
          </cell>
          <cell r="I5">
            <v>1</v>
          </cell>
          <cell r="J5" t="str">
            <v>DDA</v>
          </cell>
          <cell r="M5" t="str">
            <v>44</v>
          </cell>
          <cell r="N5" t="str">
            <v>CS</v>
          </cell>
        </row>
        <row r="6">
          <cell r="B6" t="str">
            <v>0005</v>
          </cell>
          <cell r="C6" t="str">
            <v xml:space="preserve">LAREDO-SO. LAREDO         </v>
          </cell>
          <cell r="D6">
            <v>1</v>
          </cell>
          <cell r="H6" t="str">
            <v>PTV03</v>
          </cell>
          <cell r="I6">
            <v>1</v>
          </cell>
          <cell r="J6" t="str">
            <v>NOW</v>
          </cell>
          <cell r="M6" t="str">
            <v>45</v>
          </cell>
          <cell r="N6" t="str">
            <v>CL</v>
          </cell>
        </row>
        <row r="7">
          <cell r="B7" t="str">
            <v>0006</v>
          </cell>
          <cell r="C7" t="str">
            <v xml:space="preserve">LAREDO-MINES ROAD         </v>
          </cell>
          <cell r="D7">
            <v>1</v>
          </cell>
          <cell r="H7" t="str">
            <v>PTV04</v>
          </cell>
          <cell r="I7">
            <v>1</v>
          </cell>
          <cell r="J7" t="str">
            <v>MM</v>
          </cell>
          <cell r="M7" t="str">
            <v>46</v>
          </cell>
          <cell r="N7" t="str">
            <v>RE</v>
          </cell>
        </row>
        <row r="8">
          <cell r="B8" t="str">
            <v>0007</v>
          </cell>
          <cell r="C8" t="str">
            <v xml:space="preserve">SA-LOOP 410               </v>
          </cell>
          <cell r="D8">
            <v>6</v>
          </cell>
          <cell r="H8" t="str">
            <v>PTV05</v>
          </cell>
          <cell r="I8">
            <v>1</v>
          </cell>
          <cell r="J8" t="str">
            <v>MM</v>
          </cell>
        </row>
        <row r="9">
          <cell r="B9" t="str">
            <v>0008</v>
          </cell>
          <cell r="C9" t="str">
            <v xml:space="preserve">HOU-GALLERIA              </v>
          </cell>
          <cell r="D9">
            <v>3</v>
          </cell>
          <cell r="H9" t="str">
            <v>PTV10</v>
          </cell>
          <cell r="I9">
            <v>2</v>
          </cell>
          <cell r="J9" t="str">
            <v>DDA</v>
          </cell>
        </row>
        <row r="10">
          <cell r="B10" t="str">
            <v>0009</v>
          </cell>
          <cell r="C10" t="str">
            <v xml:space="preserve">MCALLEN-SOUTH             </v>
          </cell>
          <cell r="D10">
            <v>2</v>
          </cell>
          <cell r="H10" t="str">
            <v>PTV11</v>
          </cell>
          <cell r="I10">
            <v>1</v>
          </cell>
          <cell r="J10" t="str">
            <v>DUE TO BANKS (MEXI</v>
          </cell>
        </row>
        <row r="11">
          <cell r="B11" t="str">
            <v>0010</v>
          </cell>
          <cell r="C11" t="str">
            <v xml:space="preserve">HOU-LONG POINT            </v>
          </cell>
          <cell r="D11">
            <v>3</v>
          </cell>
          <cell r="H11" t="str">
            <v>PTV13</v>
          </cell>
          <cell r="I11">
            <v>1</v>
          </cell>
          <cell r="J11" t="str">
            <v>NOW</v>
          </cell>
        </row>
        <row r="12">
          <cell r="B12" t="str">
            <v>0011</v>
          </cell>
          <cell r="C12" t="str">
            <v xml:space="preserve">HOU-SO. HOUSTON           </v>
          </cell>
          <cell r="D12">
            <v>3</v>
          </cell>
          <cell r="H12" t="str">
            <v>PTV30</v>
          </cell>
          <cell r="I12">
            <v>1</v>
          </cell>
          <cell r="J12" t="str">
            <v>DDA</v>
          </cell>
        </row>
        <row r="13">
          <cell r="B13" t="str">
            <v>0012</v>
          </cell>
          <cell r="C13" t="str">
            <v xml:space="preserve">HOU-IRVINGTON                    </v>
          </cell>
          <cell r="D13">
            <v>3</v>
          </cell>
          <cell r="H13" t="str">
            <v>PTV55</v>
          </cell>
          <cell r="I13">
            <v>1</v>
          </cell>
          <cell r="J13" t="str">
            <v>LNB OWNED DDA</v>
          </cell>
        </row>
        <row r="14">
          <cell r="B14" t="str">
            <v>0013</v>
          </cell>
          <cell r="C14" t="str">
            <v xml:space="preserve">HOU-HARRISBURG                   </v>
          </cell>
          <cell r="D14">
            <v>3</v>
          </cell>
          <cell r="H14" t="str">
            <v>PTVLI</v>
          </cell>
          <cell r="I14">
            <v>1</v>
          </cell>
          <cell r="J14" t="str">
            <v>LNB INTERNAL-MONEY</v>
          </cell>
        </row>
        <row r="15">
          <cell r="B15" t="str">
            <v>0014</v>
          </cell>
          <cell r="C15" t="str">
            <v xml:space="preserve">HOU-LAWNDALE                     </v>
          </cell>
          <cell r="D15">
            <v>3</v>
          </cell>
          <cell r="H15" t="str">
            <v>PTVST</v>
          </cell>
          <cell r="I15">
            <v>1</v>
          </cell>
          <cell r="J15" t="str">
            <v>DUE TO US BANKS -</v>
          </cell>
        </row>
        <row r="16">
          <cell r="B16" t="str">
            <v>0015</v>
          </cell>
          <cell r="C16" t="str">
            <v xml:space="preserve">SA-SO. PARK MALL                 </v>
          </cell>
          <cell r="D16">
            <v>6</v>
          </cell>
          <cell r="H16" t="str">
            <v>ZBA</v>
          </cell>
          <cell r="J16" t="str">
            <v>ZERO BAL</v>
          </cell>
        </row>
        <row r="17">
          <cell r="B17" t="str">
            <v>0016</v>
          </cell>
          <cell r="C17" t="str">
            <v xml:space="preserve">AUSTIN-MANCHACA                  </v>
          </cell>
          <cell r="D17">
            <v>5</v>
          </cell>
        </row>
        <row r="18">
          <cell r="B18" t="str">
            <v>0017</v>
          </cell>
          <cell r="C18" t="str">
            <v xml:space="preserve">DALLAS-OAK CLIFF                 </v>
          </cell>
          <cell r="D18">
            <v>5</v>
          </cell>
        </row>
        <row r="19">
          <cell r="B19" t="str">
            <v>0018</v>
          </cell>
          <cell r="C19" t="str">
            <v xml:space="preserve">SA-SOUTHEAST MILITARY DRIVE      </v>
          </cell>
          <cell r="D19">
            <v>6</v>
          </cell>
        </row>
        <row r="20">
          <cell r="B20" t="str">
            <v>0019</v>
          </cell>
          <cell r="C20" t="str">
            <v xml:space="preserve">FORT WORTH                       </v>
          </cell>
          <cell r="D20">
            <v>5</v>
          </cell>
        </row>
        <row r="21">
          <cell r="B21" t="str">
            <v>0020</v>
          </cell>
          <cell r="C21" t="str">
            <v xml:space="preserve">AUSTIN-RIVERSIDE                 </v>
          </cell>
          <cell r="D21">
            <v>5</v>
          </cell>
        </row>
        <row r="22">
          <cell r="B22" t="str">
            <v>0021</v>
          </cell>
          <cell r="C22" t="str">
            <v xml:space="preserve">SA-LAS PALMAS                    </v>
          </cell>
          <cell r="D22">
            <v>6</v>
          </cell>
        </row>
        <row r="23">
          <cell r="B23" t="str">
            <v>0022</v>
          </cell>
          <cell r="C23" t="str">
            <v xml:space="preserve">LAREDO-LCC SOUTH                 </v>
          </cell>
          <cell r="D23">
            <v>1</v>
          </cell>
        </row>
        <row r="24">
          <cell r="B24" t="str">
            <v>0023</v>
          </cell>
          <cell r="C24" t="str">
            <v xml:space="preserve">CC-LEOPARD STREET      </v>
          </cell>
          <cell r="D24">
            <v>4</v>
          </cell>
        </row>
        <row r="25">
          <cell r="B25" t="str">
            <v>0024</v>
          </cell>
          <cell r="C25" t="str">
            <v xml:space="preserve">LAREDO-DEL COURT       </v>
          </cell>
          <cell r="D25">
            <v>1</v>
          </cell>
        </row>
        <row r="26">
          <cell r="B26" t="str">
            <v>0025</v>
          </cell>
          <cell r="C26" t="str">
            <v xml:space="preserve">SA-EUCLID              </v>
          </cell>
          <cell r="D26">
            <v>6</v>
          </cell>
        </row>
        <row r="27">
          <cell r="B27" t="str">
            <v>0026</v>
          </cell>
          <cell r="C27" t="str">
            <v xml:space="preserve">SA-OLMOS PARK          </v>
          </cell>
          <cell r="D27">
            <v>6</v>
          </cell>
        </row>
        <row r="28">
          <cell r="B28" t="str">
            <v>0027</v>
          </cell>
          <cell r="C28" t="str">
            <v xml:space="preserve">SA-INGRAM PARK         </v>
          </cell>
          <cell r="D28">
            <v>6</v>
          </cell>
        </row>
        <row r="29">
          <cell r="B29" t="str">
            <v>0028</v>
          </cell>
          <cell r="C29" t="str">
            <v xml:space="preserve">CC-SHORELINE           </v>
          </cell>
          <cell r="D29">
            <v>4</v>
          </cell>
        </row>
        <row r="30">
          <cell r="B30" t="str">
            <v>0029</v>
          </cell>
          <cell r="C30" t="str">
            <v xml:space="preserve">SA-ZARZAMORA           </v>
          </cell>
          <cell r="D30">
            <v>6</v>
          </cell>
        </row>
        <row r="31">
          <cell r="B31" t="str">
            <v>0030</v>
          </cell>
          <cell r="C31" t="str">
            <v xml:space="preserve">SA-BLANCO&amp;BASSE        </v>
          </cell>
          <cell r="D31">
            <v>6</v>
          </cell>
        </row>
        <row r="32">
          <cell r="B32" t="str">
            <v>0031</v>
          </cell>
          <cell r="C32" t="str">
            <v xml:space="preserve">MCALLEN-NORTH          </v>
          </cell>
          <cell r="D32">
            <v>2</v>
          </cell>
        </row>
        <row r="33">
          <cell r="B33" t="str">
            <v>0032</v>
          </cell>
          <cell r="C33" t="str">
            <v xml:space="preserve">SA-CULEBRA/ZARZAMORA   </v>
          </cell>
          <cell r="D33">
            <v>6</v>
          </cell>
        </row>
        <row r="34">
          <cell r="B34" t="str">
            <v>0033</v>
          </cell>
          <cell r="C34" t="str">
            <v xml:space="preserve">BROWNSVILLE            </v>
          </cell>
          <cell r="D34">
            <v>2</v>
          </cell>
        </row>
        <row r="35">
          <cell r="B35" t="str">
            <v>0034</v>
          </cell>
          <cell r="C35" t="str">
            <v xml:space="preserve">MCALLEN-NORTH 10TH ST    </v>
          </cell>
          <cell r="D35">
            <v>2</v>
          </cell>
        </row>
        <row r="36">
          <cell r="B36" t="str">
            <v>0035</v>
          </cell>
          <cell r="C36" t="str">
            <v xml:space="preserve">EL PASO                  </v>
          </cell>
        </row>
        <row r="37">
          <cell r="B37" t="str">
            <v>0036</v>
          </cell>
          <cell r="C37" t="str">
            <v xml:space="preserve">DALLAS-NORTHWEST         </v>
          </cell>
          <cell r="D37">
            <v>5</v>
          </cell>
        </row>
        <row r="38">
          <cell r="B38" t="str">
            <v>0037</v>
          </cell>
          <cell r="C38" t="str">
            <v xml:space="preserve">CC-MOORE PLAZA           </v>
          </cell>
          <cell r="D38">
            <v>4</v>
          </cell>
        </row>
        <row r="39">
          <cell r="B39" t="str">
            <v>0038</v>
          </cell>
          <cell r="C39" t="str">
            <v xml:space="preserve">LAREDO-ENERGY GROUP      </v>
          </cell>
          <cell r="D39">
            <v>1</v>
          </cell>
        </row>
        <row r="40">
          <cell r="B40" t="str">
            <v>0039</v>
          </cell>
          <cell r="C40" t="str">
            <v xml:space="preserve">HOU-BELLAIRE             </v>
          </cell>
          <cell r="D40">
            <v>3</v>
          </cell>
        </row>
        <row r="41">
          <cell r="B41" t="str">
            <v>0040</v>
          </cell>
          <cell r="C41" t="str">
            <v xml:space="preserve">HOU-PASADENA             </v>
          </cell>
          <cell r="D41">
            <v>3</v>
          </cell>
        </row>
        <row r="42">
          <cell r="B42" t="str">
            <v>0041</v>
          </cell>
          <cell r="C42" t="str">
            <v xml:space="preserve">HOU-GESSNER              </v>
          </cell>
          <cell r="D42">
            <v>3</v>
          </cell>
        </row>
        <row r="43">
          <cell r="B43" t="str">
            <v>0042</v>
          </cell>
          <cell r="C43" t="str">
            <v xml:space="preserve">HOU-BELLFORT             </v>
          </cell>
          <cell r="D43">
            <v>3</v>
          </cell>
        </row>
        <row r="44">
          <cell r="B44" t="str">
            <v>0043</v>
          </cell>
          <cell r="C44" t="str">
            <v xml:space="preserve">LAREDO-CLARK BOULEVARD   </v>
          </cell>
          <cell r="D44">
            <v>1</v>
          </cell>
        </row>
        <row r="45">
          <cell r="B45" t="str">
            <v>0044</v>
          </cell>
          <cell r="C45" t="str">
            <v xml:space="preserve">HOU-HEIGHTS              </v>
          </cell>
          <cell r="D45">
            <v>3</v>
          </cell>
        </row>
        <row r="46">
          <cell r="B46" t="str">
            <v>0045</v>
          </cell>
          <cell r="C46" t="str">
            <v xml:space="preserve">HOUSTON 45 - TBD       </v>
          </cell>
          <cell r="D46">
            <v>3</v>
          </cell>
        </row>
        <row r="47">
          <cell r="B47" t="str">
            <v>0046</v>
          </cell>
          <cell r="C47" t="str">
            <v xml:space="preserve">SA-NORTH SIDE          </v>
          </cell>
          <cell r="D47">
            <v>6</v>
          </cell>
        </row>
        <row r="48">
          <cell r="B48" t="str">
            <v>0047</v>
          </cell>
          <cell r="C48" t="str">
            <v xml:space="preserve">DALLAS 47 - TBD        </v>
          </cell>
          <cell r="D48">
            <v>5</v>
          </cell>
        </row>
        <row r="49">
          <cell r="B49" t="str">
            <v>0048</v>
          </cell>
          <cell r="C49" t="str">
            <v xml:space="preserve">CC-KINGS CROSSING      </v>
          </cell>
          <cell r="D49">
            <v>4</v>
          </cell>
        </row>
        <row r="50">
          <cell r="B50" t="str">
            <v>0049</v>
          </cell>
          <cell r="C50" t="str">
            <v xml:space="preserve">HARLINGEN              </v>
          </cell>
          <cell r="D50">
            <v>2</v>
          </cell>
        </row>
        <row r="51">
          <cell r="B51" t="str">
            <v>0050</v>
          </cell>
          <cell r="C51" t="str">
            <v xml:space="preserve">LAREDO-EL PORTAL       </v>
          </cell>
          <cell r="D51">
            <v>1</v>
          </cell>
        </row>
        <row r="52">
          <cell r="B52" t="str">
            <v>0051</v>
          </cell>
          <cell r="C52" t="str">
            <v xml:space="preserve">EDINBURG               </v>
          </cell>
          <cell r="D52">
            <v>2</v>
          </cell>
        </row>
        <row r="53">
          <cell r="B53" t="str">
            <v>0052</v>
          </cell>
          <cell r="C53" t="str">
            <v xml:space="preserve">SAN MARCOS             </v>
          </cell>
          <cell r="D53">
            <v>6</v>
          </cell>
        </row>
        <row r="54">
          <cell r="B54" t="str">
            <v>0053</v>
          </cell>
          <cell r="C54" t="str">
            <v xml:space="preserve">AUSTIN-1ST/SLAUGHTER   </v>
          </cell>
          <cell r="D54">
            <v>5</v>
          </cell>
        </row>
        <row r="55">
          <cell r="B55" t="str">
            <v>0054</v>
          </cell>
          <cell r="C55" t="str">
            <v xml:space="preserve">WESLACO                </v>
          </cell>
          <cell r="D55">
            <v>2</v>
          </cell>
        </row>
        <row r="56">
          <cell r="B56" t="str">
            <v>0055</v>
          </cell>
          <cell r="C56" t="str">
            <v xml:space="preserve">DALLAS 55 - TBD        </v>
          </cell>
          <cell r="D56">
            <v>5</v>
          </cell>
        </row>
        <row r="57">
          <cell r="B57" t="str">
            <v>0056</v>
          </cell>
          <cell r="C57" t="str">
            <v>TBD</v>
          </cell>
        </row>
        <row r="58">
          <cell r="B58" t="str">
            <v>0057</v>
          </cell>
          <cell r="C58" t="str">
            <v xml:space="preserve">HOU-GESSNER RENTAL PROPERTY   </v>
          </cell>
          <cell r="D58">
            <v>3</v>
          </cell>
        </row>
        <row r="59">
          <cell r="B59" t="str">
            <v>0058</v>
          </cell>
          <cell r="C59" t="str">
            <v xml:space="preserve">BROWNSVILLE 58 - TBD          </v>
          </cell>
          <cell r="D59">
            <v>2</v>
          </cell>
        </row>
        <row r="60">
          <cell r="B60" t="str">
            <v>0059</v>
          </cell>
          <cell r="C60" t="str">
            <v xml:space="preserve">MISSION                       </v>
          </cell>
          <cell r="D60">
            <v>2</v>
          </cell>
        </row>
        <row r="61">
          <cell r="B61" t="str">
            <v>0060</v>
          </cell>
          <cell r="C61" t="str">
            <v xml:space="preserve">RIO GRANDE CITY               </v>
          </cell>
          <cell r="D61">
            <v>2</v>
          </cell>
        </row>
        <row r="62">
          <cell r="B62" t="str">
            <v>0061</v>
          </cell>
          <cell r="C62" t="str">
            <v xml:space="preserve">BROWNSVILLE-SUNRISE MALL      </v>
          </cell>
          <cell r="D62">
            <v>2</v>
          </cell>
        </row>
        <row r="63">
          <cell r="B63" t="str">
            <v>0062</v>
          </cell>
          <cell r="C63" t="str">
            <v>SA-LA CANTERA MALL</v>
          </cell>
          <cell r="D63">
            <v>6</v>
          </cell>
        </row>
        <row r="64">
          <cell r="B64" t="str">
            <v>0063</v>
          </cell>
          <cell r="C64" t="str">
            <v xml:space="preserve">LAREDO-MALL DEL NORTE       </v>
          </cell>
          <cell r="D64">
            <v>1</v>
          </cell>
        </row>
        <row r="65">
          <cell r="B65" t="str">
            <v>0064</v>
          </cell>
          <cell r="C65" t="str">
            <v>TBD</v>
          </cell>
        </row>
        <row r="66">
          <cell r="B66" t="str">
            <v>0065</v>
          </cell>
          <cell r="C66" t="str">
            <v>SA-NORTH STAR MALL</v>
          </cell>
          <cell r="D66">
            <v>6</v>
          </cell>
        </row>
        <row r="67">
          <cell r="B67" t="str">
            <v>0066</v>
          </cell>
          <cell r="C67" t="str">
            <v>FINANZIAS</v>
          </cell>
        </row>
        <row r="68">
          <cell r="B68" t="str">
            <v>0067</v>
          </cell>
          <cell r="C68" t="str">
            <v>MCALLEN AIRPORT-LA PLAZA MALL</v>
          </cell>
          <cell r="D68">
            <v>2</v>
          </cell>
        </row>
        <row r="69">
          <cell r="B69" t="str">
            <v>0201</v>
          </cell>
          <cell r="C69" t="str">
            <v>LAREDO-GUADALUPE</v>
          </cell>
          <cell r="D69">
            <v>1</v>
          </cell>
        </row>
        <row r="70">
          <cell r="B70" t="str">
            <v>0202</v>
          </cell>
          <cell r="C70" t="str">
            <v>LAREDO-WALKER PLAZA</v>
          </cell>
          <cell r="D70">
            <v>1</v>
          </cell>
        </row>
        <row r="71">
          <cell r="B71" t="str">
            <v>0203</v>
          </cell>
          <cell r="C71" t="str">
            <v>EP-MAIN</v>
          </cell>
          <cell r="D71">
            <v>7</v>
          </cell>
        </row>
        <row r="72">
          <cell r="B72" t="str">
            <v>0204</v>
          </cell>
          <cell r="C72" t="str">
            <v>LAREDO-SAN ISIDRO</v>
          </cell>
          <cell r="D72">
            <v>1</v>
          </cell>
        </row>
        <row r="73">
          <cell r="B73" t="str">
            <v>0205</v>
          </cell>
          <cell r="C73" t="str">
            <v>DR-MAIN</v>
          </cell>
          <cell r="D73">
            <v>8</v>
          </cell>
        </row>
        <row r="74">
          <cell r="B74" t="str">
            <v>0206</v>
          </cell>
          <cell r="C74" t="str">
            <v>DR-NORTH</v>
          </cell>
          <cell r="D74">
            <v>8</v>
          </cell>
        </row>
        <row r="75">
          <cell r="B75" t="str">
            <v>0207</v>
          </cell>
          <cell r="C75" t="str">
            <v>DRLAUGHLIN</v>
          </cell>
          <cell r="D75">
            <v>8</v>
          </cell>
        </row>
        <row r="76">
          <cell r="B76" t="str">
            <v>0208</v>
          </cell>
          <cell r="C76" t="str">
            <v>EP-DRNB</v>
          </cell>
          <cell r="D76">
            <v>7</v>
          </cell>
        </row>
        <row r="77">
          <cell r="B77" t="str">
            <v>0209</v>
          </cell>
          <cell r="C77" t="str">
            <v>SA-LPO</v>
          </cell>
          <cell r="D77">
            <v>6</v>
          </cell>
        </row>
        <row r="78">
          <cell r="B78" t="str">
            <v>0210</v>
          </cell>
          <cell r="C78" t="str">
            <v>EP-DOWNTOWN</v>
          </cell>
          <cell r="D78">
            <v>7</v>
          </cell>
        </row>
        <row r="79">
          <cell r="B79" t="str">
            <v>0211</v>
          </cell>
          <cell r="C79" t="str">
            <v>EP-WAL-MART</v>
          </cell>
          <cell r="D79">
            <v>7</v>
          </cell>
        </row>
      </sheetData>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1Input"/>
      <sheetName val="Actual_Model"/>
      <sheetName val="Full_Forecast"/>
      <sheetName val="Sheet1"/>
    </sheetNames>
    <sheetDataSet>
      <sheetData sheetId="0" refreshError="1">
        <row r="15">
          <cell r="B15">
            <v>91</v>
          </cell>
        </row>
        <row r="21">
          <cell r="B21">
            <v>2004</v>
          </cell>
        </row>
        <row r="23">
          <cell r="G23">
            <v>3200</v>
          </cell>
        </row>
        <row r="25">
          <cell r="B25" t="str">
            <v>Pass 1</v>
          </cell>
        </row>
        <row r="33">
          <cell r="D33" t="str">
            <v>February YTD</v>
          </cell>
        </row>
        <row r="34">
          <cell r="D34">
            <v>60</v>
          </cell>
        </row>
        <row r="35">
          <cell r="B35">
            <v>2004</v>
          </cell>
          <cell r="D35">
            <v>305</v>
          </cell>
        </row>
        <row r="36">
          <cell r="D36">
            <v>365</v>
          </cell>
        </row>
        <row r="45">
          <cell r="D45" t="str">
            <v>Sun:BS-04</v>
          </cell>
        </row>
        <row r="46">
          <cell r="D46" t="str">
            <v>Sun:Bs-04</v>
          </cell>
        </row>
        <row r="48">
          <cell r="D48" t="str">
            <v>Sun:IS-04</v>
          </cell>
        </row>
        <row r="49">
          <cell r="D49" t="str">
            <v>Sun:Is-04</v>
          </cell>
        </row>
      </sheetData>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A"/>
      <sheetName val="FTB"/>
      <sheetName val="FTC"/>
      <sheetName val="FTD"/>
      <sheetName val="FTE"/>
      <sheetName val="FTF"/>
      <sheetName val="FTG"/>
      <sheetName val="FTH"/>
      <sheetName val="FTJ"/>
      <sheetName val="FTL"/>
      <sheetName val="Process By Mgr"/>
      <sheetName val="TOTALFT"/>
      <sheetName val="Print"/>
    </sheetNames>
    <sheetDataSet>
      <sheetData sheetId="0" refreshError="1">
        <row r="6">
          <cell r="C6">
            <v>67.956320000000005</v>
          </cell>
        </row>
      </sheetData>
      <sheetData sheetId="1" refreshError="1">
        <row r="6">
          <cell r="C6">
            <v>2039</v>
          </cell>
        </row>
      </sheetData>
      <sheetData sheetId="2" refreshError="1">
        <row r="6">
          <cell r="C6">
            <v>1959</v>
          </cell>
        </row>
      </sheetData>
      <sheetData sheetId="3" refreshError="1">
        <row r="6">
          <cell r="C6">
            <v>2057.4775500000001</v>
          </cell>
        </row>
      </sheetData>
      <sheetData sheetId="4" refreshError="1">
        <row r="6">
          <cell r="C6">
            <v>3662.9801600000001</v>
          </cell>
        </row>
      </sheetData>
      <sheetData sheetId="5" refreshError="1">
        <row r="6">
          <cell r="C6">
            <v>3737</v>
          </cell>
        </row>
      </sheetData>
      <sheetData sheetId="6" refreshError="1">
        <row r="6">
          <cell r="C6">
            <v>745</v>
          </cell>
        </row>
      </sheetData>
      <sheetData sheetId="7" refreshError="1">
        <row r="6">
          <cell r="C6">
            <v>288</v>
          </cell>
        </row>
      </sheetData>
      <sheetData sheetId="8" refreshError="1">
        <row r="6">
          <cell r="C6">
            <v>156</v>
          </cell>
        </row>
      </sheetData>
      <sheetData sheetId="9" refreshError="1">
        <row r="6">
          <cell r="C6">
            <v>4764.2489999999998</v>
          </cell>
        </row>
      </sheetData>
      <sheetData sheetId="10" refreshError="1">
        <row r="6">
          <cell r="C6">
            <v>1968.6870800000002</v>
          </cell>
        </row>
      </sheetData>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lash"/>
      <sheetName val="Is-Bs-Stats"/>
      <sheetName val="NII"/>
      <sheetName val="NIE"/>
      <sheetName val="Retail Financial Package 2003 B"/>
      <sheetName val="Bancomer"/>
      <sheetName val="Roling Month Input Page"/>
    </sheetNames>
    <sheetDataSet>
      <sheetData sheetId="0" refreshError="1">
        <row r="5">
          <cell r="C5" t="str">
            <v>Base Month</v>
          </cell>
          <cell r="G5" t="str">
            <v>Base Year</v>
          </cell>
          <cell r="K5" t="str">
            <v>Base Dim</v>
          </cell>
        </row>
        <row r="6">
          <cell r="C6" t="str">
            <v>Comparison Month</v>
          </cell>
          <cell r="G6" t="str">
            <v>Comparison Year</v>
          </cell>
          <cell r="K6" t="str">
            <v>Comparison Dim</v>
          </cell>
        </row>
        <row r="9">
          <cell r="C9" t="str">
            <v>Comparison Month</v>
          </cell>
          <cell r="G9" t="str">
            <v>Comparison Year</v>
          </cell>
          <cell r="K9" t="str">
            <v>Comparison Dim</v>
          </cell>
        </row>
        <row r="12">
          <cell r="C12" t="str">
            <v>Comparison Month</v>
          </cell>
          <cell r="G12" t="str">
            <v>Comparison Year</v>
          </cell>
          <cell r="K12" t="str">
            <v>Comparison Dim</v>
          </cell>
        </row>
        <row r="32">
          <cell r="C32">
            <v>4502112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SBASE_BALANCE_Medio"/>
      <sheetName val="ESSBASE_BALANCE_Acum"/>
      <sheetName val="ESSBASE_BALANCE_TipoMes"/>
      <sheetName val="ESSBASE_BALANCE_TipoAcum"/>
      <sheetName val="ESSBASE_RESULT_Mes"/>
      <sheetName val="ESSBASE_RESULT_Acum"/>
      <sheetName val="BALANCE_Puntual"/>
      <sheetName val="BALANCE_Medio"/>
      <sheetName val="BALANCE_Acum"/>
      <sheetName val="RESULTADOS_Mes"/>
      <sheetName val="RESULTADOS_Acum"/>
      <sheetName val="ESSBASE_BALANCE_Pun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Branch"/>
      <sheetName val="By Region"/>
      <sheetName val="Bank Total"/>
      <sheetName val="Regions Summary"/>
      <sheetName val="Product Summary"/>
      <sheetName val="To Presentation"/>
      <sheetName val="Data"/>
      <sheetName val="LoanCodes"/>
      <sheetName val="Branches"/>
      <sheetName val="Stat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B3" t="str">
            <v>0000</v>
          </cell>
          <cell r="D3" t="str">
            <v>OTHER</v>
          </cell>
        </row>
        <row r="4">
          <cell r="B4" t="str">
            <v>0100</v>
          </cell>
          <cell r="C4" t="str">
            <v>RESIDENTIAL 1-4</v>
          </cell>
          <cell r="D4" t="str">
            <v>HE</v>
          </cell>
        </row>
        <row r="5">
          <cell r="B5" t="str">
            <v>0110</v>
          </cell>
          <cell r="C5" t="str">
            <v>RESIDENTIAL 5+</v>
          </cell>
          <cell r="D5" t="str">
            <v>HE</v>
          </cell>
        </row>
        <row r="6">
          <cell r="B6" t="str">
            <v>0120</v>
          </cell>
          <cell r="C6" t="str">
            <v>MANUFACTURED HOUSING</v>
          </cell>
          <cell r="D6" t="str">
            <v>HE</v>
          </cell>
        </row>
        <row r="7">
          <cell r="B7" t="str">
            <v>0130</v>
          </cell>
          <cell r="C7" t="str">
            <v>MOBILE HOME COMMUNITY</v>
          </cell>
          <cell r="D7" t="str">
            <v>HE</v>
          </cell>
        </row>
        <row r="8">
          <cell r="B8" t="str">
            <v>0200</v>
          </cell>
          <cell r="C8" t="str">
            <v>2-4 UNIT APARTMENT COMPLEX</v>
          </cell>
          <cell r="D8" t="str">
            <v>HE</v>
          </cell>
        </row>
        <row r="9">
          <cell r="B9" t="str">
            <v>0201</v>
          </cell>
          <cell r="C9" t="str">
            <v>5-25 UNIT APARTMENT COMPLEX</v>
          </cell>
          <cell r="D9" t="str">
            <v>HE</v>
          </cell>
        </row>
        <row r="10">
          <cell r="B10" t="str">
            <v>0202</v>
          </cell>
          <cell r="C10" t="str">
            <v>25+ UNIT APARTMENT COMPLEX</v>
          </cell>
          <cell r="D10" t="str">
            <v>HE</v>
          </cell>
        </row>
        <row r="11">
          <cell r="B11" t="str">
            <v>0250</v>
          </cell>
          <cell r="C11" t="str">
            <v>CONDOMINIUM</v>
          </cell>
          <cell r="D11" t="str">
            <v>HE</v>
          </cell>
        </row>
        <row r="12">
          <cell r="B12" t="str">
            <v>0251</v>
          </cell>
          <cell r="C12" t="str">
            <v>CONDOS (2 OR MORE)</v>
          </cell>
          <cell r="D12" t="str">
            <v>HE</v>
          </cell>
        </row>
        <row r="13">
          <cell r="B13" t="str">
            <v>0260</v>
          </cell>
          <cell r="C13" t="str">
            <v>TOWNHOME</v>
          </cell>
          <cell r="D13" t="str">
            <v>HE</v>
          </cell>
        </row>
        <row r="14">
          <cell r="B14" t="str">
            <v>0261</v>
          </cell>
          <cell r="C14" t="str">
            <v>TOWNHOMES (2 OR MORE)</v>
          </cell>
          <cell r="D14" t="str">
            <v>HE</v>
          </cell>
        </row>
        <row r="15">
          <cell r="B15" t="str">
            <v>0270</v>
          </cell>
          <cell r="C15" t="str">
            <v>DUPLEX</v>
          </cell>
          <cell r="D15" t="str">
            <v>HE</v>
          </cell>
        </row>
        <row r="16">
          <cell r="B16" t="str">
            <v>0271</v>
          </cell>
          <cell r="C16" t="str">
            <v>DUPLEX (2 OR MORE)</v>
          </cell>
          <cell r="D16" t="str">
            <v>HE</v>
          </cell>
        </row>
        <row r="17">
          <cell r="B17" t="str">
            <v>0300</v>
          </cell>
          <cell r="C17" t="str">
            <v>OFFICE BUILDING-GENERAL</v>
          </cell>
          <cell r="D17" t="str">
            <v>OTHER</v>
          </cell>
        </row>
        <row r="18">
          <cell r="B18" t="str">
            <v>0305</v>
          </cell>
          <cell r="C18" t="str">
            <v>OFFICE BLDG-PROFESSIONAL / MEDICAL</v>
          </cell>
          <cell r="D18" t="str">
            <v>OTHER</v>
          </cell>
        </row>
        <row r="19">
          <cell r="B19" t="str">
            <v>0310</v>
          </cell>
          <cell r="C19" t="str">
            <v>RETAIL/WHOLESALE OFFICE WITH WAREHOU</v>
          </cell>
          <cell r="D19" t="str">
            <v>OTHER</v>
          </cell>
        </row>
        <row r="20">
          <cell r="B20" t="str">
            <v>0320</v>
          </cell>
          <cell r="C20" t="str">
            <v>WAREHOUSE</v>
          </cell>
          <cell r="D20" t="str">
            <v>OTHER</v>
          </cell>
        </row>
        <row r="21">
          <cell r="B21" t="str">
            <v>0340</v>
          </cell>
          <cell r="C21" t="str">
            <v>AUTO DEALERSHIP/CAR LOTS</v>
          </cell>
          <cell r="D21" t="str">
            <v>OTHER</v>
          </cell>
        </row>
        <row r="22">
          <cell r="B22" t="str">
            <v>0345</v>
          </cell>
          <cell r="C22" t="str">
            <v>SERVICE STATION</v>
          </cell>
          <cell r="D22" t="str">
            <v>OTHER</v>
          </cell>
        </row>
        <row r="23">
          <cell r="B23" t="str">
            <v>0350</v>
          </cell>
          <cell r="C23" t="str">
            <v>GARAGE/AUTO REPAIR</v>
          </cell>
          <cell r="D23" t="str">
            <v>OTHER</v>
          </cell>
        </row>
        <row r="24">
          <cell r="B24" t="str">
            <v>0400</v>
          </cell>
          <cell r="C24" t="str">
            <v>MISSING COLLATERAL 2</v>
          </cell>
          <cell r="D24" t="str">
            <v>OTHER</v>
          </cell>
        </row>
        <row r="25">
          <cell r="B25" t="str">
            <v>0405</v>
          </cell>
          <cell r="C25" t="str">
            <v>WHOLESALE / RETAIL FACILITY</v>
          </cell>
          <cell r="D25" t="str">
            <v>OTHER</v>
          </cell>
        </row>
        <row r="26">
          <cell r="B26" t="str">
            <v>0410</v>
          </cell>
          <cell r="C26" t="str">
            <v>CONVENIENCE STORE</v>
          </cell>
          <cell r="D26" t="str">
            <v>OTHER</v>
          </cell>
        </row>
        <row r="27">
          <cell r="B27" t="str">
            <v>0420</v>
          </cell>
          <cell r="C27" t="str">
            <v>GROCERY STORE</v>
          </cell>
          <cell r="D27" t="str">
            <v>OTHER</v>
          </cell>
        </row>
        <row r="28">
          <cell r="B28" t="str">
            <v>0430</v>
          </cell>
          <cell r="C28" t="str">
            <v>DEPARTMENT STORE</v>
          </cell>
          <cell r="D28" t="str">
            <v>OTHER</v>
          </cell>
        </row>
        <row r="29">
          <cell r="B29" t="str">
            <v>0440</v>
          </cell>
          <cell r="C29" t="str">
            <v>ENCLOSED MALL</v>
          </cell>
          <cell r="D29" t="str">
            <v>OTHER</v>
          </cell>
        </row>
        <row r="30">
          <cell r="B30" t="str">
            <v>0445</v>
          </cell>
          <cell r="C30" t="str">
            <v>SHOPPING/STRIP CENTER</v>
          </cell>
          <cell r="D30" t="str">
            <v>OTHER</v>
          </cell>
        </row>
        <row r="31">
          <cell r="B31" t="str">
            <v>0450</v>
          </cell>
          <cell r="C31" t="str">
            <v>RESTAURANT-FASTFOOD</v>
          </cell>
          <cell r="D31" t="str">
            <v>OTHER</v>
          </cell>
        </row>
        <row r="32">
          <cell r="B32" t="str">
            <v>0455</v>
          </cell>
          <cell r="C32" t="str">
            <v>RESTAURANT-TRADITIONAL</v>
          </cell>
          <cell r="D32" t="str">
            <v>OTHER</v>
          </cell>
        </row>
        <row r="33">
          <cell r="B33" t="str">
            <v>0460</v>
          </cell>
          <cell r="C33" t="str">
            <v>THEATER</v>
          </cell>
          <cell r="D33" t="str">
            <v>OTHER</v>
          </cell>
        </row>
        <row r="34">
          <cell r="B34" t="str">
            <v>0465</v>
          </cell>
          <cell r="C34" t="str">
            <v>AMPHITHEATER</v>
          </cell>
          <cell r="D34" t="str">
            <v>OTHER</v>
          </cell>
        </row>
        <row r="35">
          <cell r="B35" t="str">
            <v>0470</v>
          </cell>
          <cell r="C35" t="str">
            <v>TELEVISION STATION</v>
          </cell>
          <cell r="D35" t="str">
            <v>OTHER</v>
          </cell>
        </row>
        <row r="36">
          <cell r="B36" t="str">
            <v>0480</v>
          </cell>
          <cell r="C36" t="str">
            <v>RADIO STATION</v>
          </cell>
          <cell r="D36" t="str">
            <v>OTHER</v>
          </cell>
        </row>
        <row r="37">
          <cell r="B37" t="str">
            <v>0500</v>
          </cell>
          <cell r="C37" t="str">
            <v>BOWLING ALLEY</v>
          </cell>
          <cell r="D37" t="str">
            <v>OTHER</v>
          </cell>
        </row>
        <row r="38">
          <cell r="B38" t="str">
            <v>0510</v>
          </cell>
          <cell r="C38" t="str">
            <v>ROLLER SKATING RINK</v>
          </cell>
          <cell r="D38" t="str">
            <v>OTHER</v>
          </cell>
        </row>
        <row r="39">
          <cell r="B39" t="str">
            <v>0520</v>
          </cell>
          <cell r="C39" t="str">
            <v>SWIMMING POOL FACILITY</v>
          </cell>
          <cell r="D39" t="str">
            <v>OTHER</v>
          </cell>
        </row>
        <row r="40">
          <cell r="B40" t="str">
            <v>0525</v>
          </cell>
          <cell r="C40" t="str">
            <v>GOLF COURSE</v>
          </cell>
          <cell r="D40" t="str">
            <v>OTHER</v>
          </cell>
        </row>
        <row r="41">
          <cell r="B41" t="str">
            <v>0530</v>
          </cell>
          <cell r="C41" t="str">
            <v>BOAT MARINA</v>
          </cell>
          <cell r="D41" t="str">
            <v>OTHER</v>
          </cell>
        </row>
        <row r="42">
          <cell r="B42" t="str">
            <v>0540</v>
          </cell>
          <cell r="C42" t="str">
            <v>COUNTRY CLUB</v>
          </cell>
          <cell r="D42" t="str">
            <v>OTHER</v>
          </cell>
        </row>
        <row r="43">
          <cell r="B43" t="str">
            <v>0550</v>
          </cell>
          <cell r="C43" t="str">
            <v>AIRCRAFT HANGER</v>
          </cell>
          <cell r="D43" t="str">
            <v>OTHER</v>
          </cell>
        </row>
        <row r="44">
          <cell r="B44" t="str">
            <v>0600</v>
          </cell>
          <cell r="C44" t="str">
            <v>MOTEL</v>
          </cell>
          <cell r="D44" t="str">
            <v>OTHER</v>
          </cell>
        </row>
        <row r="45">
          <cell r="B45" t="str">
            <v>0610</v>
          </cell>
          <cell r="C45" t="str">
            <v>HOTELS</v>
          </cell>
          <cell r="D45" t="str">
            <v>OTHER</v>
          </cell>
        </row>
        <row r="46">
          <cell r="B46" t="str">
            <v>0700</v>
          </cell>
          <cell r="C46" t="str">
            <v>HOSPITAL</v>
          </cell>
          <cell r="D46" t="str">
            <v>OTHER</v>
          </cell>
        </row>
        <row r="47">
          <cell r="B47" t="str">
            <v>0710</v>
          </cell>
          <cell r="C47" t="str">
            <v>MEDICAL CLINIC</v>
          </cell>
          <cell r="D47" t="str">
            <v>OTHER</v>
          </cell>
        </row>
        <row r="48">
          <cell r="B48" t="str">
            <v>0720</v>
          </cell>
          <cell r="C48" t="str">
            <v>NURSING FACILITY-LONG TERM CARE</v>
          </cell>
          <cell r="D48" t="str">
            <v>OTHER</v>
          </cell>
        </row>
        <row r="49">
          <cell r="B49" t="str">
            <v>0800</v>
          </cell>
          <cell r="C49" t="str">
            <v>CHURCH/SYNAGOGUE/RELIGIOUS FACILITY</v>
          </cell>
          <cell r="D49" t="str">
            <v>OTHER</v>
          </cell>
        </row>
        <row r="50">
          <cell r="B50" t="str">
            <v>0900</v>
          </cell>
          <cell r="C50" t="str">
            <v>INDUSTRIAL/MANUFACTURING FACILITY</v>
          </cell>
          <cell r="D50" t="str">
            <v>OTHER</v>
          </cell>
        </row>
        <row r="51">
          <cell r="B51" t="str">
            <v>0910</v>
          </cell>
          <cell r="C51" t="str">
            <v>MISSING COLLATERAL</v>
          </cell>
          <cell r="D51" t="str">
            <v>OTHER</v>
          </cell>
        </row>
        <row r="52">
          <cell r="B52" t="str">
            <v>0915</v>
          </cell>
          <cell r="C52" t="str">
            <v>MINI STORAGE FACILITY</v>
          </cell>
          <cell r="D52" t="str">
            <v>OTHER</v>
          </cell>
        </row>
        <row r="53">
          <cell r="B53" t="str">
            <v>0920</v>
          </cell>
          <cell r="C53" t="str">
            <v>RANCH LAND</v>
          </cell>
          <cell r="D53" t="str">
            <v>OTHER</v>
          </cell>
        </row>
        <row r="54">
          <cell r="B54" t="str">
            <v>0930</v>
          </cell>
          <cell r="C54" t="str">
            <v>FEEDLOTS</v>
          </cell>
          <cell r="D54" t="str">
            <v>OTHER</v>
          </cell>
        </row>
        <row r="55">
          <cell r="B55" t="str">
            <v>0940</v>
          </cell>
          <cell r="C55" t="str">
            <v>FARM LAND</v>
          </cell>
          <cell r="D55" t="str">
            <v>OTHER</v>
          </cell>
        </row>
        <row r="56">
          <cell r="B56" t="str">
            <v>0950</v>
          </cell>
          <cell r="C56" t="str">
            <v>RESIDENTIAL LOT(S)</v>
          </cell>
          <cell r="D56" t="str">
            <v>OTHER</v>
          </cell>
        </row>
        <row r="57">
          <cell r="B57" t="str">
            <v>0951</v>
          </cell>
          <cell r="C57" t="str">
            <v>UNDEVELOPED RESIDENTIAL ACREAGE</v>
          </cell>
          <cell r="D57" t="str">
            <v>OTHER</v>
          </cell>
        </row>
        <row r="58">
          <cell r="B58" t="str">
            <v>0955</v>
          </cell>
          <cell r="C58" t="str">
            <v>COMMERCIAL LOT(S)</v>
          </cell>
          <cell r="D58" t="str">
            <v>OTHER</v>
          </cell>
        </row>
        <row r="59">
          <cell r="B59" t="str">
            <v>0956</v>
          </cell>
          <cell r="C59" t="str">
            <v>UNDEVELOPED COMMERCIAL ACREAGE</v>
          </cell>
          <cell r="D59" t="str">
            <v>OTHER</v>
          </cell>
        </row>
        <row r="60">
          <cell r="B60" t="str">
            <v>0960</v>
          </cell>
          <cell r="C60" t="str">
            <v>LAND DEVELOPMENT-RESIDENTIAL</v>
          </cell>
          <cell r="D60" t="str">
            <v>OTHER</v>
          </cell>
        </row>
        <row r="61">
          <cell r="B61" t="str">
            <v>0961</v>
          </cell>
          <cell r="C61" t="str">
            <v>RESIDENTIAL LOTS-CONTRACT FOR SALE</v>
          </cell>
          <cell r="D61" t="str">
            <v>OTHER</v>
          </cell>
        </row>
        <row r="62">
          <cell r="B62" t="str">
            <v>0962</v>
          </cell>
          <cell r="C62" t="str">
            <v>REAL ESTATE INTEREST</v>
          </cell>
          <cell r="D62" t="str">
            <v>OTHER</v>
          </cell>
        </row>
        <row r="63">
          <cell r="B63" t="str">
            <v>0980</v>
          </cell>
          <cell r="C63" t="str">
            <v>LAND DEVELOPMENT-COMMERCIAL</v>
          </cell>
          <cell r="D63" t="str">
            <v>OTHER</v>
          </cell>
        </row>
        <row r="64">
          <cell r="B64" t="str">
            <v>0981</v>
          </cell>
          <cell r="C64" t="str">
            <v>COMM LOTS - CONTRACT FOR SALE</v>
          </cell>
          <cell r="D64" t="str">
            <v>OTHER</v>
          </cell>
        </row>
        <row r="65">
          <cell r="B65" t="str">
            <v>0982</v>
          </cell>
          <cell r="C65" t="str">
            <v>OTHER COMMERCIAL PROPERTIES</v>
          </cell>
          <cell r="D65" t="str">
            <v>OTHER</v>
          </cell>
        </row>
        <row r="66">
          <cell r="B66" t="str">
            <v>1000</v>
          </cell>
          <cell r="C66" t="str">
            <v>AUTO DOMESTIC</v>
          </cell>
          <cell r="D66" t="str">
            <v>Auto</v>
          </cell>
        </row>
        <row r="67">
          <cell r="B67" t="str">
            <v>1001</v>
          </cell>
          <cell r="C67" t="str">
            <v>ANTIQUE AUTO</v>
          </cell>
          <cell r="D67" t="str">
            <v>Auto</v>
          </cell>
        </row>
        <row r="68">
          <cell r="B68" t="str">
            <v>1002</v>
          </cell>
          <cell r="C68" t="str">
            <v>AUTO IMPORT</v>
          </cell>
          <cell r="D68" t="str">
            <v>Auto</v>
          </cell>
        </row>
        <row r="69">
          <cell r="B69" t="str">
            <v>1003</v>
          </cell>
          <cell r="C69" t="str">
            <v>VAN</v>
          </cell>
          <cell r="D69" t="str">
            <v>Auto</v>
          </cell>
        </row>
        <row r="70">
          <cell r="B70" t="str">
            <v>1004</v>
          </cell>
          <cell r="C70" t="str">
            <v>PANEL TRUCK</v>
          </cell>
          <cell r="D70" t="str">
            <v>Auto</v>
          </cell>
        </row>
        <row r="71">
          <cell r="B71" t="str">
            <v>1005</v>
          </cell>
          <cell r="C71" t="str">
            <v>SPORTS UTILITY VEHICLE - DOMESTIC</v>
          </cell>
          <cell r="D71" t="str">
            <v>Auto</v>
          </cell>
        </row>
        <row r="72">
          <cell r="B72" t="str">
            <v>1006</v>
          </cell>
          <cell r="C72" t="str">
            <v>PICKUP TRUCK - DOMESTIC</v>
          </cell>
          <cell r="D72" t="str">
            <v>Auto</v>
          </cell>
        </row>
        <row r="73">
          <cell r="B73" t="str">
            <v>1007</v>
          </cell>
          <cell r="C73" t="str">
            <v>MOTORCYCLE</v>
          </cell>
          <cell r="D73" t="str">
            <v>Auto</v>
          </cell>
        </row>
        <row r="74">
          <cell r="B74" t="str">
            <v>1008</v>
          </cell>
          <cell r="C74" t="str">
            <v>SPORTS UTILITY VEHICLE - IMPORT</v>
          </cell>
          <cell r="D74" t="str">
            <v>Auto</v>
          </cell>
        </row>
        <row r="75">
          <cell r="B75" t="str">
            <v>1009</v>
          </cell>
          <cell r="C75" t="str">
            <v>PICKUP TRUCK - IMPORT</v>
          </cell>
          <cell r="D75" t="str">
            <v>Auto</v>
          </cell>
        </row>
        <row r="76">
          <cell r="B76" t="str">
            <v>1100</v>
          </cell>
          <cell r="C76" t="str">
            <v>RECREATIONAL VEHICLE</v>
          </cell>
          <cell r="D76" t="str">
            <v>Auto</v>
          </cell>
        </row>
        <row r="77">
          <cell r="B77" t="str">
            <v>1120</v>
          </cell>
          <cell r="C77" t="str">
            <v>MOTOR HOME</v>
          </cell>
          <cell r="D77" t="str">
            <v>OTHER</v>
          </cell>
        </row>
        <row r="78">
          <cell r="B78" t="str">
            <v>1130</v>
          </cell>
          <cell r="C78" t="str">
            <v>POP-UP CAMPER</v>
          </cell>
          <cell r="D78" t="str">
            <v>OTHER</v>
          </cell>
        </row>
        <row r="79">
          <cell r="B79" t="str">
            <v>1150</v>
          </cell>
          <cell r="C79" t="str">
            <v>POWER BOAT-INBOARD</v>
          </cell>
          <cell r="D79" t="str">
            <v>OTHER</v>
          </cell>
        </row>
        <row r="80">
          <cell r="B80" t="str">
            <v>1151</v>
          </cell>
          <cell r="C80" t="str">
            <v>POWER BOAT-OUTBOARD</v>
          </cell>
          <cell r="D80" t="str">
            <v>OTHER</v>
          </cell>
        </row>
        <row r="81">
          <cell r="B81" t="str">
            <v>1155</v>
          </cell>
          <cell r="C81" t="str">
            <v>SAILBOAT</v>
          </cell>
          <cell r="D81" t="str">
            <v>OTHER</v>
          </cell>
        </row>
        <row r="82">
          <cell r="B82" t="str">
            <v>1160</v>
          </cell>
          <cell r="C82" t="str">
            <v>JET SKI</v>
          </cell>
          <cell r="D82" t="str">
            <v>OTHER</v>
          </cell>
        </row>
        <row r="83">
          <cell r="B83" t="str">
            <v>1170</v>
          </cell>
          <cell r="C83" t="str">
            <v>HOUSEBOAT</v>
          </cell>
          <cell r="D83" t="str">
            <v>OTHER</v>
          </cell>
        </row>
        <row r="84">
          <cell r="B84" t="str">
            <v>1200</v>
          </cell>
          <cell r="C84" t="str">
            <v>MOBILE HOME-SINGLE WIDTH</v>
          </cell>
          <cell r="D84" t="str">
            <v>OTHER</v>
          </cell>
        </row>
        <row r="85">
          <cell r="B85" t="str">
            <v>1210</v>
          </cell>
          <cell r="C85" t="str">
            <v>MOBILE HOME-DOUBLE WIDTH</v>
          </cell>
          <cell r="D85" t="str">
            <v>OTHER</v>
          </cell>
        </row>
        <row r="86">
          <cell r="B86" t="str">
            <v>1300</v>
          </cell>
          <cell r="C86" t="str">
            <v>AIRCRAFT</v>
          </cell>
          <cell r="D86" t="str">
            <v>OTHER</v>
          </cell>
        </row>
        <row r="87">
          <cell r="B87" t="str">
            <v>1301</v>
          </cell>
          <cell r="C87" t="str">
            <v>AIRCRAFT-SINGLE ENGINE</v>
          </cell>
          <cell r="D87" t="str">
            <v>OTHER</v>
          </cell>
        </row>
        <row r="88">
          <cell r="B88" t="str">
            <v>1302</v>
          </cell>
          <cell r="C88" t="str">
            <v>AIRCRAFT-MULTI ENGINE</v>
          </cell>
          <cell r="D88" t="str">
            <v>OTHER</v>
          </cell>
        </row>
        <row r="89">
          <cell r="B89" t="str">
            <v>1303</v>
          </cell>
          <cell r="C89" t="str">
            <v>HELICOPTER</v>
          </cell>
          <cell r="D89" t="str">
            <v>OTHER</v>
          </cell>
        </row>
        <row r="90">
          <cell r="B90" t="str">
            <v>1310</v>
          </cell>
          <cell r="C90" t="str">
            <v>TRACTOR/TRAILER</v>
          </cell>
          <cell r="D90" t="str">
            <v>OTHER</v>
          </cell>
        </row>
        <row r="91">
          <cell r="B91" t="str">
            <v>1315</v>
          </cell>
          <cell r="C91" t="str">
            <v>ROLLING STOCK</v>
          </cell>
          <cell r="D91" t="str">
            <v>OTHER</v>
          </cell>
        </row>
        <row r="92">
          <cell r="B92" t="str">
            <v>1320</v>
          </cell>
          <cell r="C92" t="str">
            <v>ROAD MACHINERY</v>
          </cell>
          <cell r="D92" t="str">
            <v>OTHER</v>
          </cell>
        </row>
        <row r="93">
          <cell r="B93" t="str">
            <v>1330</v>
          </cell>
          <cell r="C93" t="str">
            <v>EQUIPMENT: OFFICE/OTHER</v>
          </cell>
          <cell r="D93" t="str">
            <v>OTHER</v>
          </cell>
        </row>
        <row r="94">
          <cell r="B94" t="str">
            <v>1340</v>
          </cell>
          <cell r="C94" t="str">
            <v>HARVESTING EQUIPMENT</v>
          </cell>
          <cell r="D94" t="str">
            <v>OTHER</v>
          </cell>
        </row>
        <row r="95">
          <cell r="B95" t="str">
            <v>1350</v>
          </cell>
          <cell r="C95" t="str">
            <v>OIL DRILLING EQUIPMENT</v>
          </cell>
          <cell r="D95" t="str">
            <v>OTHER</v>
          </cell>
        </row>
        <row r="96">
          <cell r="B96" t="str">
            <v>1370</v>
          </cell>
          <cell r="C96" t="str">
            <v>GAS DRILLING EQUIPMENT</v>
          </cell>
          <cell r="D96" t="str">
            <v>OTHER</v>
          </cell>
        </row>
        <row r="97">
          <cell r="B97" t="str">
            <v>1380</v>
          </cell>
          <cell r="C97" t="str">
            <v>HEAVY EQUIPMENT</v>
          </cell>
          <cell r="D97" t="str">
            <v>OTHER</v>
          </cell>
        </row>
        <row r="98">
          <cell r="B98" t="str">
            <v>1390</v>
          </cell>
          <cell r="C98" t="str">
            <v>FARM EQUIPMENT</v>
          </cell>
          <cell r="D98" t="str">
            <v>OTHER</v>
          </cell>
        </row>
        <row r="99">
          <cell r="B99" t="str">
            <v>1400</v>
          </cell>
          <cell r="C99" t="str">
            <v>STOCK</v>
          </cell>
          <cell r="D99" t="str">
            <v>OTHER</v>
          </cell>
        </row>
        <row r="100">
          <cell r="B100" t="str">
            <v>1401</v>
          </cell>
          <cell r="C100" t="str">
            <v>BONDS/IRB</v>
          </cell>
          <cell r="D100" t="str">
            <v>OTHER</v>
          </cell>
        </row>
        <row r="101">
          <cell r="B101" t="str">
            <v>1402</v>
          </cell>
          <cell r="C101" t="str">
            <v>NEGOTIABLE PAPER</v>
          </cell>
          <cell r="D101" t="str">
            <v>OTHER</v>
          </cell>
        </row>
        <row r="102">
          <cell r="B102" t="str">
            <v>1403</v>
          </cell>
          <cell r="C102" t="str">
            <v>SECURITIES</v>
          </cell>
          <cell r="D102" t="str">
            <v>OTHER</v>
          </cell>
        </row>
        <row r="103">
          <cell r="B103" t="str">
            <v>1404</v>
          </cell>
          <cell r="C103" t="str">
            <v>NOTES ASSIGNMENT</v>
          </cell>
          <cell r="D103" t="str">
            <v>OTHER</v>
          </cell>
        </row>
        <row r="104">
          <cell r="B104" t="str">
            <v>1405</v>
          </cell>
          <cell r="C104" t="str">
            <v>BANK STOCK</v>
          </cell>
          <cell r="D104" t="str">
            <v>OTHER</v>
          </cell>
        </row>
        <row r="105">
          <cell r="B105" t="str">
            <v>1406</v>
          </cell>
          <cell r="C105" t="str">
            <v>TIME SHARES</v>
          </cell>
          <cell r="D105" t="str">
            <v>OTHER</v>
          </cell>
        </row>
        <row r="106">
          <cell r="B106" t="str">
            <v>1410</v>
          </cell>
          <cell r="C106" t="str">
            <v>BILL OF EXCHANGE</v>
          </cell>
          <cell r="D106" t="str">
            <v>OTHER</v>
          </cell>
        </row>
        <row r="107">
          <cell r="B107" t="str">
            <v>1415</v>
          </cell>
          <cell r="C107" t="str">
            <v>LOC/BANKERS ACCEPTANCE</v>
          </cell>
          <cell r="D107" t="str">
            <v>OTHER</v>
          </cell>
        </row>
        <row r="108">
          <cell r="B108" t="str">
            <v>1450</v>
          </cell>
          <cell r="C108" t="str">
            <v>GOVERNMENT OBLIGATION</v>
          </cell>
          <cell r="D108" t="str">
            <v>OTHER</v>
          </cell>
        </row>
        <row r="109">
          <cell r="B109" t="str">
            <v>1500</v>
          </cell>
          <cell r="C109" t="str">
            <v>SAVINGS ACCOUNTS</v>
          </cell>
          <cell r="D109" t="str">
            <v>CDSEC</v>
          </cell>
        </row>
        <row r="110">
          <cell r="B110" t="str">
            <v>1501</v>
          </cell>
          <cell r="C110" t="str">
            <v>FINTEGRA ACCOUNT</v>
          </cell>
          <cell r="D110" t="str">
            <v>OTHER</v>
          </cell>
        </row>
        <row r="111">
          <cell r="B111" t="str">
            <v>1510</v>
          </cell>
          <cell r="C111" t="str">
            <v>CERTIFICATE OF DEPOSIT</v>
          </cell>
          <cell r="D111" t="str">
            <v>CDSEC</v>
          </cell>
        </row>
        <row r="112">
          <cell r="B112" t="str">
            <v>1511</v>
          </cell>
          <cell r="C112" t="str">
            <v>EXTERNAL CERT OF DEP</v>
          </cell>
          <cell r="D112" t="str">
            <v>OTHER</v>
          </cell>
        </row>
        <row r="113">
          <cell r="B113" t="str">
            <v>1520</v>
          </cell>
          <cell r="C113" t="str">
            <v>COMMERCIAL PAPER</v>
          </cell>
          <cell r="D113" t="str">
            <v>OTHER</v>
          </cell>
        </row>
        <row r="114">
          <cell r="B114" t="str">
            <v>1530</v>
          </cell>
          <cell r="C114" t="str">
            <v>TREASURY BILL</v>
          </cell>
          <cell r="D114" t="str">
            <v>OTHER</v>
          </cell>
        </row>
        <row r="115">
          <cell r="B115" t="str">
            <v>1600</v>
          </cell>
          <cell r="C115" t="str">
            <v>LIFE INSURANCE POLICY (ASSIGNMENT)</v>
          </cell>
          <cell r="D115" t="str">
            <v>OTHER</v>
          </cell>
        </row>
        <row r="116">
          <cell r="B116" t="str">
            <v>1610</v>
          </cell>
          <cell r="C116" t="str">
            <v>LEASE ASSIGNMENT - OIL &amp; GAS</v>
          </cell>
          <cell r="D116" t="str">
            <v>OTHER</v>
          </cell>
        </row>
        <row r="117">
          <cell r="B117" t="str">
            <v>1615</v>
          </cell>
          <cell r="C117" t="str">
            <v>MINERAL RIGHTS ASSIGNMENT</v>
          </cell>
          <cell r="D117" t="str">
            <v>OTHER</v>
          </cell>
        </row>
        <row r="118">
          <cell r="B118" t="str">
            <v>1700</v>
          </cell>
          <cell r="C118" t="str">
            <v>HOUSEHOLD GOODS-GENERAL</v>
          </cell>
          <cell r="D118" t="str">
            <v>OTHER</v>
          </cell>
        </row>
        <row r="119">
          <cell r="B119" t="str">
            <v>1710</v>
          </cell>
          <cell r="C119" t="str">
            <v>FURNITURE AND FIXTURES</v>
          </cell>
          <cell r="D119" t="str">
            <v>OTHER</v>
          </cell>
        </row>
        <row r="120">
          <cell r="B120" t="str">
            <v>1720</v>
          </cell>
          <cell r="C120" t="str">
            <v>APPLIANCE</v>
          </cell>
          <cell r="D120" t="str">
            <v>OTHER</v>
          </cell>
        </row>
        <row r="121">
          <cell r="B121" t="str">
            <v>1730</v>
          </cell>
          <cell r="C121" t="str">
            <v>ELECTRONICS</v>
          </cell>
          <cell r="D121" t="str">
            <v>OTHER</v>
          </cell>
        </row>
        <row r="122">
          <cell r="B122" t="str">
            <v>1740</v>
          </cell>
          <cell r="C122" t="str">
            <v>EXERCISE EQUIPMENT</v>
          </cell>
          <cell r="D122" t="str">
            <v>OTHER</v>
          </cell>
        </row>
        <row r="123">
          <cell r="B123" t="str">
            <v>1741</v>
          </cell>
          <cell r="C123" t="str">
            <v>TREADMILL</v>
          </cell>
          <cell r="D123" t="str">
            <v>OTHER</v>
          </cell>
        </row>
        <row r="124">
          <cell r="B124" t="str">
            <v>1750</v>
          </cell>
          <cell r="C124" t="str">
            <v>CAMERA EQUIPMENT</v>
          </cell>
          <cell r="D124" t="str">
            <v>OTHER</v>
          </cell>
        </row>
        <row r="125">
          <cell r="B125" t="str">
            <v>1760</v>
          </cell>
          <cell r="C125" t="str">
            <v>COMPUTER EQUIPMENT</v>
          </cell>
          <cell r="D125" t="str">
            <v>OTHER</v>
          </cell>
        </row>
        <row r="126">
          <cell r="B126" t="str">
            <v>1770</v>
          </cell>
          <cell r="C126" t="str">
            <v>JEWELRY</v>
          </cell>
          <cell r="D126" t="str">
            <v>OTHER</v>
          </cell>
        </row>
        <row r="127">
          <cell r="B127" t="str">
            <v>1775</v>
          </cell>
          <cell r="C127" t="str">
            <v>GOLD COIN</v>
          </cell>
          <cell r="D127" t="str">
            <v>OTHER</v>
          </cell>
        </row>
        <row r="128">
          <cell r="B128" t="str">
            <v>1780</v>
          </cell>
          <cell r="C128" t="str">
            <v>PAINTINGS/ARTWORK</v>
          </cell>
          <cell r="D128" t="str">
            <v>OTHER</v>
          </cell>
        </row>
        <row r="129">
          <cell r="B129" t="str">
            <v>1800</v>
          </cell>
          <cell r="C129" t="str">
            <v>PATENTS</v>
          </cell>
          <cell r="D129" t="str">
            <v>OTHER</v>
          </cell>
        </row>
        <row r="130">
          <cell r="B130" t="str">
            <v>1805</v>
          </cell>
          <cell r="C130" t="str">
            <v>COPYRIGHTS</v>
          </cell>
          <cell r="D130" t="str">
            <v>OTHER</v>
          </cell>
        </row>
        <row r="131">
          <cell r="B131" t="str">
            <v>1810</v>
          </cell>
          <cell r="C131" t="str">
            <v>TRADEMARKS</v>
          </cell>
          <cell r="D131" t="str">
            <v>OTHER</v>
          </cell>
        </row>
        <row r="132">
          <cell r="B132" t="str">
            <v>1815</v>
          </cell>
          <cell r="C132" t="str">
            <v>TRADE NAMES</v>
          </cell>
          <cell r="D132" t="str">
            <v>OTHER</v>
          </cell>
        </row>
        <row r="133">
          <cell r="B133" t="str">
            <v>1820</v>
          </cell>
          <cell r="C133" t="str">
            <v>TAX/IRS REFUNDS</v>
          </cell>
          <cell r="D133" t="str">
            <v>OTHER</v>
          </cell>
        </row>
        <row r="134">
          <cell r="B134" t="str">
            <v>1830</v>
          </cell>
          <cell r="C134" t="str">
            <v>LITERARY RIGHTS OF AUTHORS</v>
          </cell>
          <cell r="D134" t="str">
            <v>OTHER</v>
          </cell>
        </row>
        <row r="135">
          <cell r="B135" t="str">
            <v>1835</v>
          </cell>
          <cell r="C135" t="str">
            <v>UNDIVIDED INTEREST</v>
          </cell>
          <cell r="D135" t="str">
            <v>OTHER</v>
          </cell>
        </row>
        <row r="136">
          <cell r="B136" t="str">
            <v>1850</v>
          </cell>
          <cell r="C136" t="str">
            <v>LAWSUIT PROCEEDS</v>
          </cell>
          <cell r="D136" t="str">
            <v>OTHER</v>
          </cell>
        </row>
        <row r="137">
          <cell r="B137" t="str">
            <v>1870</v>
          </cell>
          <cell r="C137" t="str">
            <v>GOODWILL OF BUSINESS</v>
          </cell>
          <cell r="D137" t="str">
            <v>OTHER</v>
          </cell>
        </row>
        <row r="138">
          <cell r="B138" t="str">
            <v>1880</v>
          </cell>
          <cell r="C138" t="str">
            <v>BROADCAST LICENSE (FCC APPROVED)</v>
          </cell>
          <cell r="D138" t="str">
            <v>OTHER</v>
          </cell>
        </row>
        <row r="139">
          <cell r="B139" t="str">
            <v>1900</v>
          </cell>
          <cell r="C139" t="str">
            <v>BUSINESS INVENTORY</v>
          </cell>
          <cell r="D139" t="str">
            <v>OTHER</v>
          </cell>
        </row>
        <row r="140">
          <cell r="B140" t="str">
            <v>1910</v>
          </cell>
          <cell r="C140" t="str">
            <v>FLOOR PLAN-NEW CAR</v>
          </cell>
          <cell r="D140" t="str">
            <v>OTHER</v>
          </cell>
        </row>
        <row r="141">
          <cell r="B141" t="str">
            <v>1920</v>
          </cell>
          <cell r="C141" t="str">
            <v>FLOOR PLAN-USED CAR</v>
          </cell>
          <cell r="D141" t="str">
            <v>OTHER</v>
          </cell>
        </row>
        <row r="142">
          <cell r="B142" t="str">
            <v>1930</v>
          </cell>
          <cell r="C142" t="str">
            <v>FLOOR PLAN-MOBILE HOME</v>
          </cell>
          <cell r="D142" t="str">
            <v>OTHER</v>
          </cell>
        </row>
        <row r="143">
          <cell r="B143" t="str">
            <v>1950</v>
          </cell>
          <cell r="C143" t="str">
            <v>CROPS</v>
          </cell>
          <cell r="D143" t="str">
            <v>OTHER</v>
          </cell>
        </row>
        <row r="144">
          <cell r="B144" t="str">
            <v>2010</v>
          </cell>
          <cell r="C144" t="str">
            <v>ACCOUNTS RECEIVABLE</v>
          </cell>
          <cell r="D144" t="str">
            <v>OTHER</v>
          </cell>
        </row>
        <row r="145">
          <cell r="B145" t="str">
            <v>2020</v>
          </cell>
          <cell r="C145" t="str">
            <v>CHATTEL PAPER</v>
          </cell>
          <cell r="D145" t="str">
            <v>OTHER</v>
          </cell>
        </row>
        <row r="146">
          <cell r="B146" t="str">
            <v>2100</v>
          </cell>
          <cell r="C146" t="str">
            <v>LIVESTOCK</v>
          </cell>
          <cell r="D146" t="str">
            <v>OTHER</v>
          </cell>
        </row>
        <row r="147">
          <cell r="B147" t="str">
            <v>2110</v>
          </cell>
          <cell r="C147" t="str">
            <v>CATTLE</v>
          </cell>
          <cell r="D147" t="str">
            <v>OTHER</v>
          </cell>
        </row>
        <row r="148">
          <cell r="B148" t="str">
            <v>2120</v>
          </cell>
          <cell r="C148" t="str">
            <v>HORSES</v>
          </cell>
          <cell r="D148" t="str">
            <v>OTHER</v>
          </cell>
        </row>
        <row r="149">
          <cell r="B149" t="str">
            <v>2130</v>
          </cell>
          <cell r="C149" t="str">
            <v>EMU</v>
          </cell>
          <cell r="D149" t="str">
            <v>OTHER</v>
          </cell>
        </row>
        <row r="150">
          <cell r="B150" t="str">
            <v>9000</v>
          </cell>
          <cell r="C150" t="str">
            <v>MISCELLANEOUS</v>
          </cell>
          <cell r="D150" t="str">
            <v>OTHER</v>
          </cell>
        </row>
        <row r="151">
          <cell r="B151" t="str">
            <v>9990</v>
          </cell>
          <cell r="C151" t="str">
            <v>FHA TITLE 1</v>
          </cell>
          <cell r="D151" t="str">
            <v>OTHER</v>
          </cell>
        </row>
        <row r="152">
          <cell r="B152" t="str">
            <v>9999</v>
          </cell>
          <cell r="C152" t="str">
            <v>UNSECURED</v>
          </cell>
          <cell r="D152" t="str">
            <v>UNSEC</v>
          </cell>
        </row>
      </sheetData>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s"/>
      <sheetName val="Input"/>
      <sheetName val="cover_OLD"/>
      <sheetName val="cover2"/>
      <sheetName val="Cover_old2"/>
      <sheetName val="Cover"/>
      <sheetName val="Consolidated"/>
      <sheetName val="CFS"/>
      <sheetName val="Other"/>
      <sheetName val="Budget"/>
      <sheetName val="Consolidated YTD"/>
      <sheetName val="YTD Budget"/>
      <sheetName val="CFS YTD"/>
      <sheetName val="Other YTD"/>
      <sheetName val="Consolidated_PY_Month"/>
      <sheetName val="Consolidated_PY_Annual"/>
      <sheetName val="Retail"/>
      <sheetName val="Corporate"/>
      <sheetName val="Community"/>
      <sheetName val="AMG"/>
      <sheetName val="Consumer Banking"/>
      <sheetName val="Treasury"/>
      <sheetName val="Finance wo Treasury"/>
      <sheetName val="Ops"/>
      <sheetName val="Other_prmo"/>
      <sheetName val="Other_pyann"/>
      <sheetName val="Module2"/>
      <sheetName val="Module3"/>
      <sheetName val="Module5"/>
      <sheetName val="Module1"/>
      <sheetName val="Module4"/>
      <sheetName val="Module6"/>
      <sheetName val="Module7"/>
      <sheetName val="Module8"/>
      <sheetName val="Module9"/>
      <sheetName val="NII"/>
      <sheetName val="DepMix"/>
    </sheetNames>
    <sheetDataSet>
      <sheetData sheetId="0" refreshError="1">
        <row r="170">
          <cell r="I170">
            <v>305</v>
          </cell>
        </row>
        <row r="182">
          <cell r="G182">
            <v>366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plash"/>
      <sheetName val="Cover"/>
      <sheetName val="Summary - Pre Tax"/>
      <sheetName val="Summary - Pre Tax after CO"/>
      <sheetName val="Sum-Pre Tax after CO and Prov"/>
      <sheetName val="Summary - Loans"/>
      <sheetName val="Summary - Revenue"/>
      <sheetName val="Summary - Expense"/>
      <sheetName val="Summary - Chargeoff"/>
      <sheetName val="CFS"/>
      <sheetName val="ODP"/>
      <sheetName val="Admin"/>
      <sheetName val="Credit_Card"/>
      <sheetName val="Check_Card"/>
      <sheetName val="Stored_Value"/>
      <sheetName val="Dealer"/>
      <sheetName val="Mortgage"/>
      <sheetName val="Merchant"/>
      <sheetName val="929"/>
      <sheetName val="Bus_Card"/>
      <sheetName val="Summary - Pre Tax Annual"/>
      <sheetName val="Summary - Revenue Annual"/>
      <sheetName val="Summary - Expense Annual"/>
      <sheetName val="Statics"/>
      <sheetName val="NIE"/>
      <sheetName val="NII"/>
      <sheetName val="NIM"/>
    </sheetNames>
    <sheetDataSet>
      <sheetData sheetId="0" refreshError="1">
        <row r="2">
          <cell r="E2" t="str">
            <v>April</v>
          </cell>
        </row>
        <row r="3">
          <cell r="E3">
            <v>2006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Statics"/>
      <sheetName val="INPUT"/>
      <sheetName val="BS"/>
      <sheetName val="IS"/>
      <sheetName val="NIM"/>
      <sheetName val="NII"/>
      <sheetName val="NIE"/>
      <sheetName val="RATIOS"/>
      <sheetName val="Rates &amp; Spreads"/>
      <sheetName val="INT"/>
      <sheetName val="FTP"/>
      <sheetName val="Module2"/>
      <sheetName val="master (2)"/>
      <sheetName val="212currfcst040503"/>
      <sheetName val="Data"/>
      <sheetName val="TM1Input"/>
      <sheetName val="Roling Month Input Page"/>
      <sheetName val="output"/>
      <sheetName val="NOVPLAN"/>
      <sheetName val="Print"/>
    </sheetNames>
    <sheetDataSet>
      <sheetData sheetId="0" refreshError="1"/>
      <sheetData sheetId="1" refreshError="1">
        <row r="13">
          <cell r="A13">
            <v>2004</v>
          </cell>
        </row>
        <row r="67">
          <cell r="D67" t="str">
            <v>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Order"/>
      <sheetName val="Module1"/>
      <sheetName val="statics"/>
      <sheetName val="INPUT"/>
      <sheetName val="Board"/>
      <sheetName val="HIGH"/>
      <sheetName val="AVG BS"/>
      <sheetName val="INC STMT"/>
      <sheetName val="RATS-STATS"/>
      <sheetName val="NONINTINC"/>
      <sheetName val="NONINTEXP"/>
      <sheetName val="AVG BS TREND"/>
      <sheetName val="INC STMT TREND"/>
      <sheetName val="RATS-STATS TREND"/>
      <sheetName val="NONINTINC TREND"/>
      <sheetName val="NONINTEXP TREND"/>
    </sheetNames>
    <sheetDataSet>
      <sheetData sheetId="0" refreshError="1"/>
      <sheetData sheetId="1" refreshError="1"/>
      <sheetData sheetId="2" refreshError="1">
        <row r="43">
          <cell r="B43" t="str">
            <v>BELT:Is-00</v>
          </cell>
        </row>
        <row r="52">
          <cell r="B52" t="str">
            <v>BELT:Isall-00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Statics"/>
      <sheetName val="Input"/>
      <sheetName val="Table"/>
      <sheetName val="Distribution"/>
      <sheetName val="Cover"/>
      <sheetName val="Cover2"/>
      <sheetName val="Fcst Cover"/>
      <sheetName val="Plan Cover"/>
      <sheetName val="Actual vs Plan"/>
      <sheetName val="Forecast vs Plan"/>
      <sheetName val="MTD_ManagedLns"/>
      <sheetName val="YTD_ManagedLns"/>
      <sheetName val="managed loans"/>
      <sheetName val="FYF_ManagedLns"/>
      <sheetName val="Forecast"/>
      <sheetName val="Consolidated-FCST"/>
      <sheetName val="Retail-FCST"/>
      <sheetName val="Corp-FCST"/>
      <sheetName val="AMG-FCST"/>
      <sheetName val="Consumer-FCST"/>
      <sheetName val="Treasury-FCST"/>
      <sheetName val="Corp Unall-FCST"/>
      <sheetName val="Plan"/>
      <sheetName val="Consolidated-Plan"/>
      <sheetName val="Retail-Plan"/>
      <sheetName val="Corp-Plan"/>
      <sheetName val="AMG-Plan"/>
      <sheetName val="CONSUMER-Plan"/>
      <sheetName val="Treasury-Plan"/>
      <sheetName val="Corp Unall-Plan"/>
      <sheetName val="Pie Chart 1"/>
      <sheetName val="Chart 2"/>
      <sheetName val="Chart 3"/>
      <sheetName val="Chart 4"/>
      <sheetName val="Chart 5"/>
      <sheetName val="Chart 6"/>
      <sheetName val="Pie Chart 6"/>
      <sheetName val="Chart 7"/>
      <sheetName val="Chart 8"/>
      <sheetName val="Chart 9"/>
      <sheetName val="Chart 10"/>
      <sheetName val="Chart 10a"/>
      <sheetName val="Chart 11"/>
      <sheetName val="Chart 12"/>
      <sheetName val="Chart 13"/>
      <sheetName val="Chart 13A"/>
      <sheetName val="Chart 14"/>
      <sheetName val="Data1"/>
      <sheetName val="Data1A"/>
      <sheetName val="Data2"/>
      <sheetName val="Data2A"/>
      <sheetName val="Module2"/>
      <sheetName val=""/>
    </sheetNames>
    <sheetDataSet>
      <sheetData sheetId="0" refreshError="1"/>
      <sheetData sheetId="1" refreshError="1">
        <row r="93">
          <cell r="D93" t="str">
            <v>June 2003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sheetName val="estructural"/>
      <sheetName val="irs estructural"/>
      <sheetName val="A VTO"/>
      <sheetName val="mov. A VTO"/>
      <sheetName val="TOTAL ORDINARIA"/>
      <sheetName val="CARTERA CERRADA"/>
      <sheetName val="ORDINARIA ABIERTA"/>
      <sheetName val="mov. ordinaria abierta"/>
      <sheetName val="compras estructural"/>
      <sheetName val="financiación cupón"/>
      <sheetName val="Datos"/>
      <sheetName val="Balance"/>
      <sheetName val="RESUMEN"/>
      <sheetName val="OPWSS"/>
      <sheetName val="OF1396"/>
      <sheetName val="OF0997"/>
      <sheetName val="OF997(DEUDA)"/>
      <sheetName val="OF0061"/>
      <sheetName val="INVERSESTRUCT"/>
      <sheetName val="OF0035"/>
      <sheetName val="OF2005"/>
      <sheetName val="OF4119"/>
      <sheetName val="OF.9857"/>
      <sheetName val="BBVANY Y BRUSELAS"/>
      <sheetName val="JERSEY"/>
      <sheetName val="PTORICO"/>
      <sheetName val="BNAPORT"/>
      <sheetName val="BCOEXCEL"/>
      <sheetName val="GIBRALTAR"/>
      <sheetName val="BBVAGLOBAL"/>
      <sheetName val="BBVAGLOBAL(SUB)"/>
      <sheetName val="BBVINTLTD"/>
      <sheetName val="CANAL Y BV AMERICA"/>
      <sheetName val="BBVACAPITAL"/>
      <sheetName val="BBVACAPFUND"/>
      <sheetName val="ARGPREFERRED"/>
      <sheetName val="BCL"/>
      <sheetName val="FINANZIA wss"/>
      <sheetName val="PILOT wss"/>
      <sheetName val="PRIV-SUIZA-wss "/>
      <sheetName val="BCOSMULTI"/>
      <sheetName val="RESBAN(UE)"/>
      <sheetName val="BCOS CENTRALES"/>
      <sheetName val="CAJAS"/>
      <sheetName val="ICO"/>
      <sheetName val="DIV &quot;IN&quot;"/>
      <sheetName val="SALDOSMEDIOS"/>
      <sheetName val="UPFRONT"/>
      <sheetName val="Mod 7250 (act)"/>
      <sheetName val="Mod 7250  (Ant.)"/>
      <sheetName val="REG.ORIGINAL"/>
      <sheetName val="Hoja1"/>
      <sheetName val="Mod 7250(ANTIGUO)"/>
      <sheetName val="BBVANY"/>
    </sheetNames>
    <sheetDataSet>
      <sheetData sheetId="0"/>
      <sheetData sheetId="1"/>
      <sheetData sheetId="2"/>
      <sheetData sheetId="3"/>
      <sheetData sheetId="4"/>
      <sheetData sheetId="5"/>
      <sheetData sheetId="6"/>
      <sheetData sheetId="7"/>
      <sheetData sheetId="8"/>
      <sheetData sheetId="9"/>
      <sheetData sheetId="10"/>
      <sheetData sheetId="11" refreshError="1">
        <row r="10">
          <cell r="A10" t="str">
            <v xml:space="preserve">        Financiación cupón</v>
          </cell>
          <cell r="C10">
            <v>0</v>
          </cell>
          <cell r="D10">
            <v>0</v>
          </cell>
          <cell r="E10">
            <v>2</v>
          </cell>
        </row>
        <row r="11">
          <cell r="A11" t="str">
            <v>ARS</v>
          </cell>
          <cell r="C11">
            <v>0</v>
          </cell>
          <cell r="D11">
            <v>0</v>
          </cell>
          <cell r="E11">
            <v>2</v>
          </cell>
        </row>
        <row r="12">
          <cell r="A12" t="str">
            <v>ATS</v>
          </cell>
          <cell r="C12">
            <v>7.2672834167859704E-2</v>
          </cell>
          <cell r="D12">
            <v>12.091742185853505</v>
          </cell>
          <cell r="E12">
            <v>2</v>
          </cell>
        </row>
        <row r="13">
          <cell r="A13" t="str">
            <v>AUD</v>
          </cell>
          <cell r="B13">
            <v>1.728</v>
          </cell>
          <cell r="C13">
            <v>0.57870370370370372</v>
          </cell>
          <cell r="D13">
            <v>96.288194444444443</v>
          </cell>
          <cell r="E13">
            <v>2</v>
          </cell>
          <cell r="F13">
            <v>19</v>
          </cell>
        </row>
        <row r="14">
          <cell r="A14" t="str">
            <v>BEF</v>
          </cell>
          <cell r="C14">
            <v>2.4789352477323941E-2</v>
          </cell>
          <cell r="D14">
            <v>4.1246012012920215</v>
          </cell>
          <cell r="E14">
            <v>0</v>
          </cell>
        </row>
        <row r="15">
          <cell r="A15" t="str">
            <v>BGL</v>
          </cell>
          <cell r="C15">
            <v>0</v>
          </cell>
          <cell r="D15">
            <v>0</v>
          </cell>
          <cell r="E15">
            <v>2</v>
          </cell>
        </row>
        <row r="16">
          <cell r="A16" t="str">
            <v>BOB</v>
          </cell>
          <cell r="C16">
            <v>0</v>
          </cell>
          <cell r="D16">
            <v>0</v>
          </cell>
          <cell r="E16">
            <v>2</v>
          </cell>
        </row>
        <row r="17">
          <cell r="A17" t="str">
            <v>BRL</v>
          </cell>
          <cell r="B17">
            <v>2.0476999999999999</v>
          </cell>
          <cell r="C17">
            <v>0.48835278605264448</v>
          </cell>
          <cell r="D17">
            <v>81.255066660155308</v>
          </cell>
          <cell r="E17">
            <v>2</v>
          </cell>
          <cell r="F17">
            <v>32</v>
          </cell>
        </row>
        <row r="18">
          <cell r="A18" t="str">
            <v>BYR</v>
          </cell>
          <cell r="C18">
            <v>0</v>
          </cell>
          <cell r="D18">
            <v>0</v>
          </cell>
          <cell r="E18">
            <v>2</v>
          </cell>
        </row>
        <row r="19">
          <cell r="A19" t="str">
            <v>CAD</v>
          </cell>
          <cell r="B19">
            <v>1.4077</v>
          </cell>
          <cell r="C19">
            <v>0.71037863181075511</v>
          </cell>
          <cell r="D19">
            <v>118.1970590324643</v>
          </cell>
          <cell r="E19">
            <v>2</v>
          </cell>
          <cell r="F19" t="str">
            <v>04</v>
          </cell>
        </row>
        <row r="20">
          <cell r="A20" t="str">
            <v>CHF</v>
          </cell>
          <cell r="B20">
            <v>1.4829000000000001</v>
          </cell>
          <cell r="C20">
            <v>0.6743543057522422</v>
          </cell>
          <cell r="D20">
            <v>112.20311551689257</v>
          </cell>
          <cell r="E20">
            <v>2</v>
          </cell>
          <cell r="F20" t="str">
            <v>06</v>
          </cell>
        </row>
        <row r="21">
          <cell r="A21" t="str">
            <v>CLP</v>
          </cell>
          <cell r="C21">
            <v>0</v>
          </cell>
          <cell r="D21">
            <v>0</v>
          </cell>
          <cell r="E21">
            <v>2</v>
          </cell>
        </row>
        <row r="22">
          <cell r="A22" t="str">
            <v>CNY</v>
          </cell>
          <cell r="C22">
            <v>0</v>
          </cell>
          <cell r="D22">
            <v>0</v>
          </cell>
          <cell r="E22">
            <v>2</v>
          </cell>
        </row>
        <row r="23">
          <cell r="A23" t="str">
            <v>COP</v>
          </cell>
          <cell r="B23">
            <v>2017.07538</v>
          </cell>
          <cell r="C23">
            <v>4.9576729254411896E-4</v>
          </cell>
          <cell r="D23">
            <v>8.2488736737245771E-2</v>
          </cell>
          <cell r="E23">
            <v>2</v>
          </cell>
          <cell r="F23">
            <v>33</v>
          </cell>
        </row>
        <row r="24">
          <cell r="A24" t="str">
            <v>CRC</v>
          </cell>
          <cell r="C24">
            <v>0</v>
          </cell>
          <cell r="D24">
            <v>0</v>
          </cell>
          <cell r="E24">
            <v>2</v>
          </cell>
        </row>
        <row r="25">
          <cell r="A25" t="str">
            <v>CYP</v>
          </cell>
          <cell r="B25">
            <v>2.089</v>
          </cell>
          <cell r="C25">
            <v>0</v>
          </cell>
          <cell r="D25">
            <v>0</v>
          </cell>
          <cell r="E25">
            <v>2</v>
          </cell>
          <cell r="F25">
            <v>2.0546666666666664</v>
          </cell>
        </row>
        <row r="26">
          <cell r="A26" t="str">
            <v>CZK</v>
          </cell>
          <cell r="C26">
            <v>0</v>
          </cell>
          <cell r="D26">
            <v>0</v>
          </cell>
          <cell r="E26">
            <v>2</v>
          </cell>
        </row>
        <row r="27">
          <cell r="A27" t="str">
            <v>DEM</v>
          </cell>
          <cell r="B27">
            <v>1.95583</v>
          </cell>
          <cell r="C27">
            <v>0.51129188119621849</v>
          </cell>
          <cell r="D27">
            <v>85.071810944714002</v>
          </cell>
          <cell r="E27">
            <v>2</v>
          </cell>
          <cell r="F27" t="str">
            <v>05</v>
          </cell>
        </row>
        <row r="28">
          <cell r="A28" t="str">
            <v>DKK</v>
          </cell>
          <cell r="B28">
            <v>7.4364999999999997</v>
          </cell>
          <cell r="C28">
            <v>0.13447186176292611</v>
          </cell>
          <cell r="D28">
            <v>22.374235191286225</v>
          </cell>
          <cell r="E28">
            <v>2</v>
          </cell>
          <cell r="F28">
            <v>12</v>
          </cell>
        </row>
        <row r="29">
          <cell r="A29" t="str">
            <v>ECS</v>
          </cell>
          <cell r="C29">
            <v>0</v>
          </cell>
          <cell r="D29">
            <v>0</v>
          </cell>
          <cell r="E29">
            <v>2</v>
          </cell>
        </row>
        <row r="30">
          <cell r="A30" t="str">
            <v>EEK</v>
          </cell>
          <cell r="C30">
            <v>0</v>
          </cell>
          <cell r="D30">
            <v>0</v>
          </cell>
          <cell r="E30">
            <v>0</v>
          </cell>
        </row>
        <row r="31">
          <cell r="A31" t="str">
            <v>EGP</v>
          </cell>
          <cell r="C31">
            <v>0</v>
          </cell>
          <cell r="D31">
            <v>0</v>
          </cell>
          <cell r="E31">
            <v>2</v>
          </cell>
        </row>
        <row r="32">
          <cell r="A32" t="str">
            <v>ESB</v>
          </cell>
          <cell r="B32">
            <v>2.089</v>
          </cell>
          <cell r="C32">
            <v>6.0101210438378233E-3</v>
          </cell>
          <cell r="D32">
            <v>1</v>
          </cell>
          <cell r="E32">
            <v>0</v>
          </cell>
          <cell r="F32" t="str">
            <v>00</v>
          </cell>
        </row>
        <row r="33">
          <cell r="A33" t="str">
            <v>ESP</v>
          </cell>
          <cell r="B33">
            <v>0.15</v>
          </cell>
          <cell r="C33">
            <v>6.0101210438378233E-3</v>
          </cell>
          <cell r="D33">
            <v>1</v>
          </cell>
          <cell r="E33">
            <v>0</v>
          </cell>
          <cell r="F33" t="str">
            <v>00</v>
          </cell>
        </row>
        <row r="34">
          <cell r="A34" t="str">
            <v>EUR</v>
          </cell>
          <cell r="B34">
            <v>1</v>
          </cell>
          <cell r="C34">
            <v>1</v>
          </cell>
          <cell r="D34">
            <v>166.386</v>
          </cell>
          <cell r="E34">
            <v>2</v>
          </cell>
          <cell r="F34">
            <v>31</v>
          </cell>
        </row>
        <row r="35">
          <cell r="A35" t="str">
            <v>FIM</v>
          </cell>
          <cell r="B35">
            <v>5.9457300000000002</v>
          </cell>
          <cell r="C35">
            <v>0.16818792646151104</v>
          </cell>
          <cell r="D35">
            <v>27.984116332224975</v>
          </cell>
          <cell r="E35">
            <v>2</v>
          </cell>
          <cell r="F35">
            <v>15</v>
          </cell>
        </row>
        <row r="36">
          <cell r="A36" t="str">
            <v>FRF</v>
          </cell>
          <cell r="B36">
            <v>6.5595699999999999</v>
          </cell>
          <cell r="C36">
            <v>0.15244901723741039</v>
          </cell>
          <cell r="D36">
            <v>25.365382182063765</v>
          </cell>
          <cell r="E36">
            <v>2</v>
          </cell>
          <cell r="F36" t="str">
            <v>01</v>
          </cell>
        </row>
        <row r="37">
          <cell r="A37" t="str">
            <v>GBP</v>
          </cell>
          <cell r="B37">
            <v>0.60850000000000004</v>
          </cell>
          <cell r="C37">
            <v>1.6433853738701725</v>
          </cell>
          <cell r="D37">
            <v>273.43631881676254</v>
          </cell>
          <cell r="E37">
            <v>2</v>
          </cell>
          <cell r="F37" t="str">
            <v>02</v>
          </cell>
        </row>
        <row r="38">
          <cell r="A38" t="str">
            <v>GRD</v>
          </cell>
          <cell r="B38">
            <v>340.75</v>
          </cell>
          <cell r="C38">
            <v>2.93470286133529E-3</v>
          </cell>
          <cell r="D38">
            <v>0.48829347028613357</v>
          </cell>
          <cell r="E38">
            <v>0</v>
          </cell>
          <cell r="F38">
            <v>23</v>
          </cell>
        </row>
        <row r="39">
          <cell r="A39" t="str">
            <v>HKD</v>
          </cell>
          <cell r="B39">
            <v>6.8723000000000001</v>
          </cell>
          <cell r="C39">
            <v>0.14551169186444129</v>
          </cell>
          <cell r="D39">
            <v>24.211108362556928</v>
          </cell>
          <cell r="E39">
            <v>2</v>
          </cell>
          <cell r="F39">
            <v>37</v>
          </cell>
        </row>
        <row r="40">
          <cell r="A40" t="str">
            <v>HRK</v>
          </cell>
          <cell r="C40">
            <v>0</v>
          </cell>
          <cell r="D40">
            <v>0</v>
          </cell>
          <cell r="E40">
            <v>2</v>
          </cell>
        </row>
        <row r="41">
          <cell r="A41" t="str">
            <v>HUF</v>
          </cell>
          <cell r="C41">
            <v>0</v>
          </cell>
          <cell r="D41">
            <v>0</v>
          </cell>
          <cell r="E41">
            <v>2</v>
          </cell>
        </row>
        <row r="42">
          <cell r="A42" t="str">
            <v>IDR</v>
          </cell>
          <cell r="C42">
            <v>0</v>
          </cell>
          <cell r="D42">
            <v>0</v>
          </cell>
          <cell r="E42">
            <v>2</v>
          </cell>
        </row>
        <row r="43">
          <cell r="A43" t="str">
            <v>IEP</v>
          </cell>
          <cell r="C43">
            <v>1.2697380784291816</v>
          </cell>
          <cell r="D43">
            <v>211.26663991751781</v>
          </cell>
          <cell r="E43">
            <v>2</v>
          </cell>
        </row>
        <row r="44">
          <cell r="A44" t="str">
            <v>ITL</v>
          </cell>
          <cell r="B44">
            <v>1936.27</v>
          </cell>
          <cell r="C44">
            <v>5.1645689908948644E-4</v>
          </cell>
          <cell r="D44">
            <v>8.5931197611903293E-2</v>
          </cell>
          <cell r="E44">
            <v>0</v>
          </cell>
          <cell r="F44">
            <v>13</v>
          </cell>
        </row>
        <row r="45">
          <cell r="A45" t="str">
            <v>JPY</v>
          </cell>
          <cell r="B45">
            <v>115.33</v>
          </cell>
          <cell r="C45">
            <v>8.6707708315269232E-3</v>
          </cell>
          <cell r="D45">
            <v>1.4426948755744387</v>
          </cell>
          <cell r="E45">
            <v>0</v>
          </cell>
          <cell r="F45">
            <v>16</v>
          </cell>
        </row>
        <row r="46">
          <cell r="A46" t="str">
            <v>KRW</v>
          </cell>
          <cell r="B46">
            <v>37987</v>
          </cell>
          <cell r="C46">
            <v>0</v>
          </cell>
          <cell r="D46">
            <v>0</v>
          </cell>
          <cell r="E46">
            <v>2</v>
          </cell>
          <cell r="F46">
            <v>38108</v>
          </cell>
        </row>
        <row r="47">
          <cell r="A47" t="str">
            <v>LTL</v>
          </cell>
          <cell r="B47">
            <v>2.0760000000000001</v>
          </cell>
          <cell r="C47">
            <v>0</v>
          </cell>
          <cell r="D47">
            <v>0</v>
          </cell>
          <cell r="E47">
            <v>2</v>
          </cell>
          <cell r="F47">
            <v>2.0609999999999999</v>
          </cell>
        </row>
        <row r="48">
          <cell r="A48" t="str">
            <v>LVL</v>
          </cell>
          <cell r="B48">
            <v>2.056</v>
          </cell>
          <cell r="C48">
            <v>0</v>
          </cell>
          <cell r="D48">
            <v>0</v>
          </cell>
          <cell r="E48">
            <v>2</v>
          </cell>
          <cell r="F48">
            <v>2.0409999999999999</v>
          </cell>
        </row>
        <row r="49">
          <cell r="A49" t="str">
            <v>MAD</v>
          </cell>
          <cell r="B49">
            <v>2.089</v>
          </cell>
          <cell r="C49">
            <v>0</v>
          </cell>
          <cell r="D49">
            <v>0</v>
          </cell>
          <cell r="E49">
            <v>2</v>
          </cell>
          <cell r="F49">
            <v>2.0859999999999999</v>
          </cell>
        </row>
        <row r="50">
          <cell r="A50" t="str">
            <v>MXN</v>
          </cell>
          <cell r="B50">
            <v>2.1150000000000002</v>
          </cell>
          <cell r="C50">
            <v>0</v>
          </cell>
          <cell r="D50">
            <v>0</v>
          </cell>
          <cell r="E50">
            <v>2</v>
          </cell>
          <cell r="F50">
            <v>2.1360000000000001</v>
          </cell>
        </row>
        <row r="51">
          <cell r="A51" t="str">
            <v>MYR</v>
          </cell>
          <cell r="B51">
            <v>2.2160000000000002</v>
          </cell>
          <cell r="C51">
            <v>0</v>
          </cell>
          <cell r="D51">
            <v>0</v>
          </cell>
          <cell r="E51">
            <v>2</v>
          </cell>
          <cell r="F51">
            <v>2.2970000000000002</v>
          </cell>
        </row>
        <row r="52">
          <cell r="A52" t="str">
            <v>NLG</v>
          </cell>
          <cell r="B52">
            <v>2.2037100000000001</v>
          </cell>
          <cell r="C52">
            <v>0.45378021609013891</v>
          </cell>
          <cell r="D52">
            <v>75.502675034373851</v>
          </cell>
          <cell r="E52">
            <v>2</v>
          </cell>
          <cell r="F52" t="str">
            <v>08</v>
          </cell>
        </row>
        <row r="53">
          <cell r="A53" t="str">
            <v>NOK</v>
          </cell>
          <cell r="B53">
            <v>7.9515000000000002</v>
          </cell>
          <cell r="C53">
            <v>0.12576243476073695</v>
          </cell>
          <cell r="D53">
            <v>20.925108470099978</v>
          </cell>
          <cell r="E53">
            <v>2</v>
          </cell>
          <cell r="F53">
            <v>11</v>
          </cell>
        </row>
        <row r="54">
          <cell r="A54" t="str">
            <v>NZD</v>
          </cell>
          <cell r="B54">
            <v>2.1215000000000002</v>
          </cell>
          <cell r="C54">
            <v>0.47136460051850104</v>
          </cell>
          <cell r="D54">
            <v>78.42847042187131</v>
          </cell>
          <cell r="E54">
            <v>2</v>
          </cell>
          <cell r="F54">
            <v>25</v>
          </cell>
        </row>
        <row r="55">
          <cell r="A55" t="str">
            <v>PAB</v>
          </cell>
          <cell r="C55">
            <v>0</v>
          </cell>
          <cell r="D55">
            <v>0</v>
          </cell>
          <cell r="E55">
            <v>2</v>
          </cell>
        </row>
        <row r="56">
          <cell r="A56" t="str">
            <v>PEN</v>
          </cell>
          <cell r="B56">
            <v>31</v>
          </cell>
          <cell r="C56">
            <v>0</v>
          </cell>
          <cell r="D56">
            <v>0</v>
          </cell>
          <cell r="E56">
            <v>2</v>
          </cell>
          <cell r="F56">
            <v>31</v>
          </cell>
        </row>
        <row r="57">
          <cell r="A57" t="str">
            <v>PHP</v>
          </cell>
          <cell r="B57">
            <v>366</v>
          </cell>
          <cell r="C57">
            <v>0</v>
          </cell>
          <cell r="D57">
            <v>0</v>
          </cell>
          <cell r="E57">
            <v>2</v>
          </cell>
          <cell r="F57">
            <v>366</v>
          </cell>
        </row>
        <row r="58">
          <cell r="A58" t="str">
            <v>PLN</v>
          </cell>
          <cell r="B58">
            <v>-5.3815484286611071</v>
          </cell>
          <cell r="C58">
            <v>0</v>
          </cell>
          <cell r="D58">
            <v>0</v>
          </cell>
          <cell r="E58">
            <v>2</v>
          </cell>
          <cell r="F58">
            <v>-2.8200409536576365</v>
          </cell>
        </row>
        <row r="59">
          <cell r="A59" t="str">
            <v>PTA</v>
          </cell>
          <cell r="B59">
            <v>166.386</v>
          </cell>
          <cell r="C59">
            <v>6.0101210438378233E-3</v>
          </cell>
          <cell r="D59">
            <v>1</v>
          </cell>
          <cell r="E59">
            <v>0</v>
          </cell>
          <cell r="F59" t="str">
            <v>00</v>
          </cell>
        </row>
        <row r="60">
          <cell r="A60" t="str">
            <v>PTE</v>
          </cell>
          <cell r="B60">
            <v>200.482</v>
          </cell>
          <cell r="C60">
            <v>4.9879789706806597E-3</v>
          </cell>
          <cell r="D60">
            <v>0.82992986901567223</v>
          </cell>
          <cell r="E60">
            <v>0</v>
          </cell>
          <cell r="F60" t="str">
            <v>09</v>
          </cell>
        </row>
        <row r="61">
          <cell r="A61" t="str">
            <v>PYG</v>
          </cell>
          <cell r="C61">
            <v>0</v>
          </cell>
          <cell r="D61">
            <v>0</v>
          </cell>
          <cell r="E61">
            <v>2</v>
          </cell>
        </row>
        <row r="62">
          <cell r="A62" t="str">
            <v>ROL</v>
          </cell>
          <cell r="C62">
            <v>0</v>
          </cell>
          <cell r="D62">
            <v>0</v>
          </cell>
          <cell r="E62">
            <v>2</v>
          </cell>
        </row>
        <row r="63">
          <cell r="A63" t="str">
            <v>RUB</v>
          </cell>
          <cell r="C63">
            <v>0</v>
          </cell>
          <cell r="D63">
            <v>0</v>
          </cell>
          <cell r="E63">
            <v>2</v>
          </cell>
        </row>
        <row r="64">
          <cell r="A64" t="str">
            <v>SEK</v>
          </cell>
          <cell r="B64">
            <v>9.3011999999999997</v>
          </cell>
          <cell r="C64">
            <v>0.10751300907409797</v>
          </cell>
          <cell r="D64">
            <v>17.888659527802865</v>
          </cell>
          <cell r="E64">
            <v>2</v>
          </cell>
          <cell r="F64">
            <v>10</v>
          </cell>
        </row>
        <row r="65">
          <cell r="A65" t="str">
            <v>SGD</v>
          </cell>
          <cell r="C65">
            <v>0</v>
          </cell>
          <cell r="D65">
            <v>0</v>
          </cell>
          <cell r="E65">
            <v>2</v>
          </cell>
        </row>
        <row r="66">
          <cell r="A66" t="str">
            <v>SIT</v>
          </cell>
          <cell r="C66">
            <v>0</v>
          </cell>
          <cell r="D66">
            <v>0</v>
          </cell>
          <cell r="E66">
            <v>2</v>
          </cell>
        </row>
        <row r="67">
          <cell r="A67" t="str">
            <v>SKK</v>
          </cell>
          <cell r="C67">
            <v>0</v>
          </cell>
          <cell r="D67">
            <v>0</v>
          </cell>
          <cell r="E67">
            <v>2</v>
          </cell>
        </row>
        <row r="68">
          <cell r="A68" t="str">
            <v>SVC</v>
          </cell>
          <cell r="C68">
            <v>0</v>
          </cell>
          <cell r="D68">
            <v>0</v>
          </cell>
          <cell r="E68">
            <v>2</v>
          </cell>
        </row>
        <row r="69">
          <cell r="A69" t="str">
            <v>THB</v>
          </cell>
          <cell r="C69">
            <v>0</v>
          </cell>
          <cell r="D69">
            <v>0</v>
          </cell>
          <cell r="E69">
            <v>2</v>
          </cell>
        </row>
        <row r="70">
          <cell r="A70" t="str">
            <v>TRL</v>
          </cell>
          <cell r="C70">
            <v>0</v>
          </cell>
          <cell r="D70">
            <v>0</v>
          </cell>
          <cell r="E70">
            <v>2</v>
          </cell>
        </row>
        <row r="71">
          <cell r="A71" t="str">
            <v>TWD</v>
          </cell>
          <cell r="C71">
            <v>0</v>
          </cell>
          <cell r="D71">
            <v>0</v>
          </cell>
          <cell r="E71">
            <v>2</v>
          </cell>
        </row>
        <row r="72">
          <cell r="A72" t="str">
            <v>UAH</v>
          </cell>
          <cell r="C72">
            <v>0</v>
          </cell>
          <cell r="D72">
            <v>0</v>
          </cell>
          <cell r="E72">
            <v>2</v>
          </cell>
        </row>
        <row r="73">
          <cell r="A73" t="str">
            <v>USD</v>
          </cell>
          <cell r="B73">
            <v>0.88129999999999997</v>
          </cell>
          <cell r="C73">
            <v>1.1346873936230568</v>
          </cell>
          <cell r="D73">
            <v>188.79609667536593</v>
          </cell>
          <cell r="E73">
            <v>2</v>
          </cell>
          <cell r="F73" t="str">
            <v>03</v>
          </cell>
        </row>
        <row r="74">
          <cell r="A74" t="str">
            <v>UYU</v>
          </cell>
          <cell r="C74">
            <v>0</v>
          </cell>
          <cell r="D74">
            <v>0</v>
          </cell>
          <cell r="E74">
            <v>2</v>
          </cell>
        </row>
        <row r="75">
          <cell r="A75" t="str">
            <v>VEB</v>
          </cell>
          <cell r="C75">
            <v>0</v>
          </cell>
          <cell r="D75">
            <v>0</v>
          </cell>
          <cell r="E75">
            <v>2</v>
          </cell>
        </row>
        <row r="76">
          <cell r="A76" t="str">
            <v>XEU</v>
          </cell>
          <cell r="C76">
            <v>0</v>
          </cell>
          <cell r="D76">
            <v>0</v>
          </cell>
          <cell r="E76">
            <v>2</v>
          </cell>
        </row>
        <row r="77">
          <cell r="A77" t="str">
            <v>YUM</v>
          </cell>
          <cell r="C77">
            <v>0</v>
          </cell>
          <cell r="D77">
            <v>0</v>
          </cell>
          <cell r="E77">
            <v>2</v>
          </cell>
        </row>
        <row r="78">
          <cell r="A78" t="str">
            <v>ZAR</v>
          </cell>
          <cell r="C78">
            <v>0</v>
          </cell>
          <cell r="D78">
            <v>0</v>
          </cell>
          <cell r="E78">
            <v>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DBILL"/>
      <sheetName val="BILL - Current"/>
      <sheetName val="Splash"/>
      <sheetName val="MTDBILL.XLS"/>
      <sheetName val="BRASIL"/>
      <sheetName val="output"/>
      <sheetName val="REDEXTERIOR"/>
    </sheetNames>
    <definedNames>
      <definedName name="diag1"/>
      <definedName name="diag4"/>
      <definedName name="memohide"/>
      <definedName name="printreports"/>
      <definedName name="unhideall"/>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sheetName val="EFECTO TC"/>
      <sheetName val="con_reales"/>
      <sheetName val="DATOS (2)BRS"/>
      <sheetName val="tc"/>
      <sheetName val="Nuevo tc"/>
      <sheetName val="EFECTO TC (2)"/>
      <sheetName val="SALIDA"/>
      <sheetName val="datos"/>
      <sheetName val="Hoja2"/>
      <sheetName val="margen explot"/>
      <sheetName val="res atribuible"/>
      <sheetName val="Hoja1"/>
      <sheetName val="DATOS (2)"/>
      <sheetName val="Avance tipos camb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1Input"/>
      <sheetName val="Data"/>
      <sheetName val="Sheet1"/>
      <sheetName val="Explanation"/>
      <sheetName val="Month"/>
      <sheetName val="Monthly for Qtr"/>
      <sheetName val="PRESUPUESTO DE GASTO "/>
      <sheetName val="DATOS MENSUALES PAIS"/>
      <sheetName val="SEGUIMIENTO MENSUAL GASTO"/>
      <sheetName val="INVERSION 2010"/>
      <sheetName val="SEGUIMIENTO DE INVERSION"/>
      <sheetName val="US GAAP"/>
      <sheetName val="IFRS Neocon"/>
      <sheetName val="Sheet3"/>
    </sheetNames>
    <sheetDataSet>
      <sheetData sheetId="0" refreshError="1">
        <row r="6">
          <cell r="G6">
            <v>30</v>
          </cell>
        </row>
        <row r="16">
          <cell r="E16" t="str">
            <v>Actual</v>
          </cell>
        </row>
        <row r="21">
          <cell r="E21" t="str">
            <v>Yes</v>
          </cell>
        </row>
        <row r="33">
          <cell r="E33">
            <v>31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E Input"/>
      <sheetName val="Eff Ratios"/>
      <sheetName val="1000 efficiency ratio"/>
      <sheetName val="Expenses"/>
      <sheetName val="MTDEXPL"/>
      <sheetName val="YTDEXPL"/>
      <sheetName val="NINT-Fctl"/>
      <sheetName val="JulyAct vs Bud"/>
      <sheetName val="YTD Act vs Bud"/>
      <sheetName val="actual"/>
      <sheetName val="budget"/>
      <sheetName val=" FCST"/>
      <sheetName val="NOVPLAN"/>
      <sheetName val="Banco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Statics"/>
      <sheetName val="Table"/>
      <sheetName val="Input"/>
      <sheetName val="Cover2"/>
      <sheetName val="Distribution"/>
      <sheetName val="Cover"/>
      <sheetName val="Fcst Cover"/>
      <sheetName val="Plan Cover"/>
      <sheetName val="Actual vs Plan"/>
      <sheetName val="Forecast vs Plan"/>
      <sheetName val="MTD_ManagedLns"/>
      <sheetName val="YTD_ManagedLns"/>
      <sheetName val="managed loans"/>
      <sheetName val="FYF_ManagedLns"/>
      <sheetName val="Forecast"/>
      <sheetName val="Consolidated-FCST"/>
      <sheetName val="Retail-FCST"/>
      <sheetName val="Corp-FCST"/>
      <sheetName val="WMG-FCST"/>
      <sheetName val="Consumer-FCST"/>
      <sheetName val="Mtg-FCST"/>
      <sheetName val="Corp Unall-FCST"/>
      <sheetName val="Plan"/>
      <sheetName val="Consolidated-Plan"/>
      <sheetName val="Retail-Plan"/>
      <sheetName val="Corp-Plan"/>
      <sheetName val="WMG-Plan"/>
      <sheetName val="CONSUMER-Plan"/>
      <sheetName val="Mtg-Plan"/>
      <sheetName val="Corp Unall-Plan"/>
      <sheetName val="Pie Chart 1"/>
      <sheetName val="Chart 2"/>
      <sheetName val="Chart 3"/>
      <sheetName val="Chart 4"/>
      <sheetName val="Chart 5"/>
      <sheetName val="Chart 6"/>
      <sheetName val="Pie Chart 6"/>
      <sheetName val="Chart 7"/>
      <sheetName val="Chart 8"/>
      <sheetName val="Chart 9"/>
      <sheetName val="Chart 10"/>
      <sheetName val="Chart 10a"/>
      <sheetName val="Chart 11"/>
      <sheetName val="Chart 12"/>
      <sheetName val="Chart 13"/>
      <sheetName val="Chart 13A"/>
      <sheetName val="Chart 14"/>
      <sheetName val="Chart 15"/>
      <sheetName val="Data1"/>
      <sheetName val="Data1A"/>
      <sheetName val="Data2"/>
      <sheetName val="Data2A"/>
      <sheetName val="Module2"/>
      <sheetName val="NIE Input"/>
      <sheetName val="Bancomer"/>
    </sheetNames>
    <sheetDataSet>
      <sheetData sheetId="0" refreshError="1"/>
      <sheetData sheetId="1" refreshError="1"/>
      <sheetData sheetId="2" refreshError="1"/>
      <sheetData sheetId="3" refreshError="1">
        <row r="6">
          <cell r="G6">
            <v>38267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XTERIOR"/>
      <sheetName val="BRASIL"/>
      <sheetName val="CARTA"/>
      <sheetName val="MINORITARIOS"/>
      <sheetName val="DEP.SUBORD."/>
      <sheetName val="GENERICA"/>
      <sheetName val="BBV MEXICO"/>
      <sheetName val="TIT.CORPORATIVA"/>
      <sheetName val="efan01021"/>
      <sheetName val="ESSBASE_RESULT_Mes"/>
      <sheetName val="Bancomer"/>
      <sheetName val="NIE Input"/>
      <sheetName val="Modelo con dudosos Bruto (2)"/>
      <sheetName val="Margen14"/>
      <sheetName val="Compara-tipos"/>
      <sheetName val="Compara-escenarios"/>
      <sheetName val="España-BASE"/>
      <sheetName val="Modelo con dudosos Neto (2)"/>
      <sheetName val="España-ADV"/>
      <sheetName val="Tipos SSEEE Riesgo"/>
      <sheetName val="Matriz EUR"/>
      <sheetName val="Matriztiposponderados"/>
      <sheetName val="TABLA EURO def"/>
      <sheetName val="Spg_saldos"/>
      <sheetName val="Spg_Rtdos"/>
      <sheetName val="CSLEuro"/>
      <sheetName val="Hoja3"/>
      <sheetName val="México"/>
      <sheetName val="CSLBancoscentrales"/>
      <sheetName val="CSLplazo"/>
      <sheetName val="LQ Pasivo"/>
      <sheetName val="LQ Activo"/>
      <sheetName val="Hoja1"/>
      <sheetName val="VTO Mayorista"/>
      <sheetName val="Covered bond"/>
      <sheetName val="Senior debt"/>
      <sheetName val="Ajuste Other own deb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 Current"/>
      <sheetName val="MTDBILL"/>
      <sheetName val="BRASIL"/>
      <sheetName val="output"/>
      <sheetName val="REDEXTERIOR"/>
      <sheetName val="MTDBILL.XLS"/>
      <sheetName val="Splash"/>
    </sheetNames>
    <definedNames>
      <definedName name="periodselect"/>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es Reuters"/>
      <sheetName val="Gràfica"/>
      <sheetName val="Accions BS "/>
      <sheetName val="Autocartera "/>
      <sheetName val="Autocartera  drets"/>
      <sheetName val="Accions BS  drets"/>
      <sheetName val="Accions BS juny"/>
      <sheetName val="Autocartera  BS juny"/>
      <sheetName val="Accions BS juliol"/>
      <sheetName val="Autocartera  BS juliol"/>
      <sheetName val="Hoja3"/>
      <sheetName val="ABRIL"/>
    </sheetNames>
    <sheetDataSet>
      <sheetData sheetId="0" refreshError="1">
        <row r="3">
          <cell r="A3">
            <v>37083</v>
          </cell>
          <cell r="B3">
            <v>17.68</v>
          </cell>
          <cell r="C3">
            <v>134972</v>
          </cell>
          <cell r="D3">
            <v>18.09</v>
          </cell>
          <cell r="E3">
            <v>17.62</v>
          </cell>
          <cell r="F3">
            <v>18</v>
          </cell>
          <cell r="G3">
            <v>0</v>
          </cell>
          <cell r="I3">
            <v>37083</v>
          </cell>
          <cell r="J3">
            <v>8266.1</v>
          </cell>
        </row>
        <row r="4">
          <cell r="A4">
            <v>37082</v>
          </cell>
          <cell r="B4">
            <v>18.100000000000001</v>
          </cell>
          <cell r="C4">
            <v>40655</v>
          </cell>
          <cell r="D4">
            <v>18.100000000000001</v>
          </cell>
          <cell r="E4">
            <v>17.809999999999999</v>
          </cell>
          <cell r="F4">
            <v>18</v>
          </cell>
          <cell r="G4">
            <v>0</v>
          </cell>
          <cell r="I4">
            <v>37082</v>
          </cell>
          <cell r="J4">
            <v>8465.1</v>
          </cell>
        </row>
        <row r="5">
          <cell r="A5">
            <v>37081</v>
          </cell>
          <cell r="B5">
            <v>17.899999999999999</v>
          </cell>
          <cell r="C5">
            <v>43097</v>
          </cell>
          <cell r="D5">
            <v>18.18</v>
          </cell>
          <cell r="E5">
            <v>17.75</v>
          </cell>
          <cell r="F5">
            <v>18.100000000000001</v>
          </cell>
          <cell r="G5">
            <v>0</v>
          </cell>
          <cell r="I5">
            <v>37081</v>
          </cell>
          <cell r="J5">
            <v>8526.2000000000007</v>
          </cell>
        </row>
        <row r="6">
          <cell r="A6">
            <v>37078</v>
          </cell>
          <cell r="B6">
            <v>18.13</v>
          </cell>
          <cell r="C6">
            <v>65312</v>
          </cell>
          <cell r="D6">
            <v>18.5</v>
          </cell>
          <cell r="E6">
            <v>18.07</v>
          </cell>
          <cell r="F6">
            <v>18.38</v>
          </cell>
          <cell r="G6">
            <v>0</v>
          </cell>
          <cell r="I6">
            <v>37078</v>
          </cell>
          <cell r="J6">
            <v>8501.9</v>
          </cell>
        </row>
        <row r="7">
          <cell r="A7">
            <v>37077</v>
          </cell>
          <cell r="B7">
            <v>18.399999999999999</v>
          </cell>
          <cell r="C7">
            <v>107992</v>
          </cell>
          <cell r="D7">
            <v>18.47</v>
          </cell>
          <cell r="E7">
            <v>17.61</v>
          </cell>
          <cell r="F7">
            <v>17.61</v>
          </cell>
          <cell r="G7">
            <v>0</v>
          </cell>
          <cell r="I7">
            <v>37077</v>
          </cell>
          <cell r="J7">
            <v>8787.6</v>
          </cell>
        </row>
        <row r="8">
          <cell r="A8">
            <v>37076</v>
          </cell>
          <cell r="B8">
            <v>18.309999999999999</v>
          </cell>
          <cell r="C8">
            <v>86435</v>
          </cell>
          <cell r="D8">
            <v>18.309999999999999</v>
          </cell>
          <cell r="E8">
            <v>17.899999999999999</v>
          </cell>
          <cell r="F8">
            <v>18.190000000000001</v>
          </cell>
          <cell r="G8">
            <v>0</v>
          </cell>
          <cell r="I8">
            <v>37076</v>
          </cell>
          <cell r="J8">
            <v>8885</v>
          </cell>
        </row>
        <row r="9">
          <cell r="A9">
            <v>37075</v>
          </cell>
          <cell r="B9">
            <v>18.2</v>
          </cell>
          <cell r="C9">
            <v>138062</v>
          </cell>
          <cell r="D9">
            <v>18.2</v>
          </cell>
          <cell r="E9">
            <v>17.8</v>
          </cell>
          <cell r="F9">
            <v>17.989999999999998</v>
          </cell>
          <cell r="G9">
            <v>0</v>
          </cell>
          <cell r="I9">
            <v>37075</v>
          </cell>
          <cell r="J9">
            <v>9015.9</v>
          </cell>
        </row>
        <row r="10">
          <cell r="A10">
            <v>37074</v>
          </cell>
          <cell r="B10">
            <v>17.91</v>
          </cell>
          <cell r="C10">
            <v>50827</v>
          </cell>
          <cell r="D10">
            <v>18.100000000000001</v>
          </cell>
          <cell r="E10">
            <v>17.899999999999999</v>
          </cell>
          <cell r="F10">
            <v>17.899999999999999</v>
          </cell>
          <cell r="G10">
            <v>0</v>
          </cell>
          <cell r="I10">
            <v>37074</v>
          </cell>
          <cell r="J10">
            <v>9073.2999999999993</v>
          </cell>
        </row>
        <row r="11">
          <cell r="A11">
            <v>37071</v>
          </cell>
          <cell r="B11">
            <v>17.899999999999999</v>
          </cell>
          <cell r="C11">
            <v>41089</v>
          </cell>
          <cell r="D11">
            <v>18.12</v>
          </cell>
          <cell r="E11">
            <v>17.8</v>
          </cell>
          <cell r="F11">
            <v>18.12</v>
          </cell>
          <cell r="G11">
            <v>0</v>
          </cell>
          <cell r="I11">
            <v>37071</v>
          </cell>
          <cell r="J11">
            <v>8878.4</v>
          </cell>
        </row>
        <row r="12">
          <cell r="A12">
            <v>37070</v>
          </cell>
          <cell r="B12">
            <v>18</v>
          </cell>
          <cell r="C12">
            <v>69332</v>
          </cell>
          <cell r="D12">
            <v>18.18</v>
          </cell>
          <cell r="E12">
            <v>17.95</v>
          </cell>
          <cell r="F12">
            <v>18.079999999999998</v>
          </cell>
          <cell r="G12">
            <v>0</v>
          </cell>
          <cell r="I12">
            <v>37070</v>
          </cell>
          <cell r="J12">
            <v>8866.5</v>
          </cell>
        </row>
        <row r="13">
          <cell r="A13">
            <v>37069</v>
          </cell>
          <cell r="B13">
            <v>18.010000000000002</v>
          </cell>
          <cell r="C13">
            <v>174547</v>
          </cell>
          <cell r="D13">
            <v>18.48</v>
          </cell>
          <cell r="E13">
            <v>18</v>
          </cell>
          <cell r="F13">
            <v>18.48</v>
          </cell>
          <cell r="G13">
            <v>0</v>
          </cell>
          <cell r="I13">
            <v>37069</v>
          </cell>
          <cell r="J13">
            <v>8787.6</v>
          </cell>
        </row>
        <row r="14">
          <cell r="A14">
            <v>37068</v>
          </cell>
          <cell r="B14">
            <v>18.399999999999999</v>
          </cell>
          <cell r="C14">
            <v>79779</v>
          </cell>
          <cell r="D14">
            <v>18.59</v>
          </cell>
          <cell r="E14">
            <v>18.34</v>
          </cell>
          <cell r="F14">
            <v>18.5</v>
          </cell>
          <cell r="G14">
            <v>0</v>
          </cell>
          <cell r="I14">
            <v>37068</v>
          </cell>
          <cell r="J14">
            <v>8792.7000000000007</v>
          </cell>
        </row>
        <row r="15">
          <cell r="A15">
            <v>37067</v>
          </cell>
          <cell r="B15">
            <v>18.54</v>
          </cell>
          <cell r="C15">
            <v>41976</v>
          </cell>
          <cell r="D15">
            <v>18.7</v>
          </cell>
          <cell r="E15">
            <v>18.510000000000002</v>
          </cell>
          <cell r="F15">
            <v>18.690000000000001</v>
          </cell>
          <cell r="G15">
            <v>0</v>
          </cell>
          <cell r="I15">
            <v>37067</v>
          </cell>
          <cell r="J15">
            <v>8964.2999999999993</v>
          </cell>
        </row>
        <row r="16">
          <cell r="A16">
            <v>37064</v>
          </cell>
          <cell r="B16">
            <v>18.7</v>
          </cell>
          <cell r="C16">
            <v>51565</v>
          </cell>
          <cell r="D16">
            <v>18.7</v>
          </cell>
          <cell r="E16">
            <v>18.53</v>
          </cell>
          <cell r="F16">
            <v>18.7</v>
          </cell>
          <cell r="G16">
            <v>0</v>
          </cell>
          <cell r="I16">
            <v>37064</v>
          </cell>
          <cell r="J16">
            <v>8925.2000000000007</v>
          </cell>
        </row>
        <row r="17">
          <cell r="A17">
            <v>37063</v>
          </cell>
          <cell r="B17">
            <v>18.66</v>
          </cell>
          <cell r="C17">
            <v>30098</v>
          </cell>
          <cell r="D17">
            <v>18.7</v>
          </cell>
          <cell r="E17">
            <v>18.61</v>
          </cell>
          <cell r="F17">
            <v>18.7</v>
          </cell>
          <cell r="G17">
            <v>0</v>
          </cell>
          <cell r="I17">
            <v>37063</v>
          </cell>
          <cell r="J17">
            <v>8920.9</v>
          </cell>
        </row>
        <row r="18">
          <cell r="A18">
            <v>37062</v>
          </cell>
          <cell r="B18">
            <v>18.649999999999999</v>
          </cell>
          <cell r="C18">
            <v>89030</v>
          </cell>
          <cell r="D18">
            <v>18.88</v>
          </cell>
          <cell r="E18">
            <v>18.62</v>
          </cell>
          <cell r="F18">
            <v>18.77</v>
          </cell>
          <cell r="G18">
            <v>0</v>
          </cell>
          <cell r="I18">
            <v>37062</v>
          </cell>
          <cell r="J18">
            <v>9021.5</v>
          </cell>
        </row>
        <row r="19">
          <cell r="A19">
            <v>37061</v>
          </cell>
          <cell r="B19">
            <v>18.739999999999998</v>
          </cell>
          <cell r="C19">
            <v>69562</v>
          </cell>
          <cell r="D19">
            <v>18.899999999999999</v>
          </cell>
          <cell r="E19">
            <v>18.63</v>
          </cell>
          <cell r="F19">
            <v>18.899999999999999</v>
          </cell>
          <cell r="G19">
            <v>0</v>
          </cell>
          <cell r="I19">
            <v>37061</v>
          </cell>
          <cell r="J19">
            <v>9047.9</v>
          </cell>
        </row>
        <row r="20">
          <cell r="A20">
            <v>37060</v>
          </cell>
          <cell r="B20">
            <v>18.899999999999999</v>
          </cell>
          <cell r="C20">
            <v>84979</v>
          </cell>
          <cell r="D20">
            <v>19</v>
          </cell>
          <cell r="E20">
            <v>18.62</v>
          </cell>
          <cell r="F20">
            <v>19</v>
          </cell>
          <cell r="G20">
            <v>0</v>
          </cell>
          <cell r="I20">
            <v>37060</v>
          </cell>
          <cell r="J20">
            <v>9018.7000000000007</v>
          </cell>
        </row>
        <row r="21">
          <cell r="A21">
            <v>37057</v>
          </cell>
          <cell r="B21">
            <v>18.87</v>
          </cell>
          <cell r="C21">
            <v>29314</v>
          </cell>
          <cell r="D21">
            <v>18.98</v>
          </cell>
          <cell r="E21">
            <v>18.8</v>
          </cell>
          <cell r="F21">
            <v>18.850000000000001</v>
          </cell>
          <cell r="G21">
            <v>0</v>
          </cell>
          <cell r="I21">
            <v>37057</v>
          </cell>
          <cell r="J21">
            <v>9363.2999999999993</v>
          </cell>
        </row>
        <row r="22">
          <cell r="A22">
            <v>37056</v>
          </cell>
          <cell r="B22">
            <v>19</v>
          </cell>
          <cell r="C22">
            <v>55427</v>
          </cell>
          <cell r="D22">
            <v>19</v>
          </cell>
          <cell r="E22">
            <v>18.75</v>
          </cell>
          <cell r="F22">
            <v>18.760000000000002</v>
          </cell>
          <cell r="G22">
            <v>0</v>
          </cell>
          <cell r="I22">
            <v>37056</v>
          </cell>
          <cell r="J22">
            <v>9476.6</v>
          </cell>
        </row>
        <row r="23">
          <cell r="A23">
            <v>37055</v>
          </cell>
          <cell r="B23">
            <v>18.7</v>
          </cell>
          <cell r="C23">
            <v>147670</v>
          </cell>
          <cell r="D23">
            <v>19.079999999999998</v>
          </cell>
          <cell r="E23">
            <v>18.66</v>
          </cell>
          <cell r="F23">
            <v>19.079999999999998</v>
          </cell>
          <cell r="G23">
            <v>0</v>
          </cell>
          <cell r="I23">
            <v>37055</v>
          </cell>
          <cell r="J23">
            <v>9522.5</v>
          </cell>
        </row>
        <row r="24">
          <cell r="A24">
            <v>37054</v>
          </cell>
          <cell r="B24">
            <v>19.149999999999999</v>
          </cell>
          <cell r="C24">
            <v>118034</v>
          </cell>
          <cell r="D24">
            <v>19.5</v>
          </cell>
          <cell r="E24">
            <v>19.07</v>
          </cell>
          <cell r="F24">
            <v>19.22</v>
          </cell>
          <cell r="G24">
            <v>0</v>
          </cell>
          <cell r="I24">
            <v>37054</v>
          </cell>
          <cell r="J24">
            <v>9444</v>
          </cell>
        </row>
        <row r="25">
          <cell r="A25">
            <v>37053</v>
          </cell>
          <cell r="B25">
            <v>19.3</v>
          </cell>
          <cell r="C25">
            <v>268546</v>
          </cell>
          <cell r="D25">
            <v>19.3</v>
          </cell>
          <cell r="E25">
            <v>19</v>
          </cell>
          <cell r="F25">
            <v>19.149999999999999</v>
          </cell>
          <cell r="G25">
            <v>0</v>
          </cell>
          <cell r="I25">
            <v>37053</v>
          </cell>
          <cell r="J25">
            <v>9606.7999999999993</v>
          </cell>
        </row>
        <row r="26">
          <cell r="A26">
            <v>37050</v>
          </cell>
          <cell r="B26">
            <v>19.149999999999999</v>
          </cell>
          <cell r="C26">
            <v>81773</v>
          </cell>
          <cell r="D26">
            <v>19.2</v>
          </cell>
          <cell r="E26">
            <v>19</v>
          </cell>
          <cell r="F26">
            <v>19.149999999999999</v>
          </cell>
          <cell r="G26">
            <v>0</v>
          </cell>
          <cell r="I26">
            <v>37050</v>
          </cell>
          <cell r="J26">
            <v>9607.2999999999993</v>
          </cell>
        </row>
        <row r="27">
          <cell r="A27">
            <v>37049</v>
          </cell>
          <cell r="B27">
            <v>19.2</v>
          </cell>
          <cell r="C27">
            <v>106300</v>
          </cell>
          <cell r="D27">
            <v>19.2</v>
          </cell>
          <cell r="E27">
            <v>19.010000000000002</v>
          </cell>
          <cell r="F27">
            <v>19.16</v>
          </cell>
          <cell r="G27">
            <v>0</v>
          </cell>
          <cell r="I27">
            <v>37049</v>
          </cell>
          <cell r="J27">
            <v>9516.7999999999993</v>
          </cell>
        </row>
        <row r="28">
          <cell r="A28">
            <v>37048</v>
          </cell>
          <cell r="B28">
            <v>19.07</v>
          </cell>
          <cell r="C28">
            <v>110983</v>
          </cell>
          <cell r="D28">
            <v>19.170000000000002</v>
          </cell>
          <cell r="E28">
            <v>19</v>
          </cell>
          <cell r="F28">
            <v>19.100000000000001</v>
          </cell>
          <cell r="G28">
            <v>0</v>
          </cell>
          <cell r="I28">
            <v>37048</v>
          </cell>
          <cell r="J28">
            <v>9530.7000000000007</v>
          </cell>
        </row>
        <row r="29">
          <cell r="A29">
            <v>37047</v>
          </cell>
          <cell r="B29">
            <v>19.09</v>
          </cell>
          <cell r="C29">
            <v>191606</v>
          </cell>
          <cell r="D29">
            <v>19.2</v>
          </cell>
          <cell r="E29">
            <v>18.7</v>
          </cell>
          <cell r="F29">
            <v>18.7</v>
          </cell>
          <cell r="G29">
            <v>0</v>
          </cell>
          <cell r="I29">
            <v>37047</v>
          </cell>
          <cell r="J29">
            <v>9601.7999999999993</v>
          </cell>
        </row>
        <row r="30">
          <cell r="A30">
            <v>37046</v>
          </cell>
          <cell r="B30">
            <v>18.66</v>
          </cell>
          <cell r="C30">
            <v>72625</v>
          </cell>
          <cell r="D30">
            <v>18.739999999999998</v>
          </cell>
          <cell r="E30">
            <v>18.600000000000001</v>
          </cell>
          <cell r="F30">
            <v>18.62</v>
          </cell>
          <cell r="G30">
            <v>0</v>
          </cell>
          <cell r="I30">
            <v>37046</v>
          </cell>
          <cell r="J30">
            <v>9561.5</v>
          </cell>
        </row>
        <row r="31">
          <cell r="A31">
            <v>37043</v>
          </cell>
          <cell r="B31">
            <v>18.5</v>
          </cell>
          <cell r="C31">
            <v>367388</v>
          </cell>
          <cell r="D31">
            <v>18.899999999999999</v>
          </cell>
          <cell r="E31">
            <v>18.399999999999999</v>
          </cell>
          <cell r="F31">
            <v>18.420000000000002</v>
          </cell>
          <cell r="G31">
            <v>0</v>
          </cell>
          <cell r="I31">
            <v>37043</v>
          </cell>
          <cell r="J31">
            <v>9399.4</v>
          </cell>
        </row>
        <row r="32">
          <cell r="A32">
            <v>37042</v>
          </cell>
          <cell r="B32">
            <v>19.277100000000001</v>
          </cell>
          <cell r="C32">
            <v>287359</v>
          </cell>
          <cell r="D32">
            <v>19.3371</v>
          </cell>
          <cell r="E32">
            <v>19.122900000000001</v>
          </cell>
          <cell r="F32">
            <v>19.122900000000001</v>
          </cell>
          <cell r="G32">
            <v>0</v>
          </cell>
          <cell r="I32">
            <v>37042</v>
          </cell>
          <cell r="J32">
            <v>9500.7000000000007</v>
          </cell>
        </row>
        <row r="33">
          <cell r="A33">
            <v>37041</v>
          </cell>
          <cell r="B33">
            <v>19.397099999999998</v>
          </cell>
          <cell r="C33">
            <v>238664</v>
          </cell>
          <cell r="D33">
            <v>19.5</v>
          </cell>
          <cell r="E33">
            <v>19.1143</v>
          </cell>
          <cell r="F33">
            <v>19.5</v>
          </cell>
          <cell r="G33">
            <v>37041</v>
          </cell>
          <cell r="I33">
            <v>37041</v>
          </cell>
          <cell r="J33">
            <v>9439.9</v>
          </cell>
        </row>
        <row r="34">
          <cell r="A34">
            <v>37040</v>
          </cell>
          <cell r="B34">
            <v>19.4057</v>
          </cell>
          <cell r="C34">
            <v>181881</v>
          </cell>
          <cell r="D34">
            <v>19.542899999999999</v>
          </cell>
          <cell r="E34">
            <v>19.328600000000002</v>
          </cell>
          <cell r="F34">
            <v>19.542899999999999</v>
          </cell>
          <cell r="G34">
            <v>37040</v>
          </cell>
          <cell r="I34">
            <v>37040</v>
          </cell>
          <cell r="J34">
            <v>9487.2000000000007</v>
          </cell>
        </row>
        <row r="35">
          <cell r="A35">
            <v>37039</v>
          </cell>
          <cell r="B35">
            <v>19.508600000000001</v>
          </cell>
          <cell r="C35">
            <v>327312</v>
          </cell>
          <cell r="D35">
            <v>19.534300000000002</v>
          </cell>
          <cell r="E35">
            <v>19.071400000000001</v>
          </cell>
          <cell r="F35">
            <v>19.174299999999999</v>
          </cell>
          <cell r="G35">
            <v>37039</v>
          </cell>
          <cell r="I35">
            <v>37039</v>
          </cell>
          <cell r="J35">
            <v>9545.6</v>
          </cell>
        </row>
        <row r="36">
          <cell r="A36">
            <v>37036</v>
          </cell>
          <cell r="B36">
            <v>18.891400000000001</v>
          </cell>
          <cell r="C36">
            <v>344436</v>
          </cell>
          <cell r="D36">
            <v>19.174299999999999</v>
          </cell>
          <cell r="E36">
            <v>18.84</v>
          </cell>
          <cell r="F36">
            <v>18.84</v>
          </cell>
          <cell r="G36">
            <v>37036</v>
          </cell>
          <cell r="I36">
            <v>37036</v>
          </cell>
          <cell r="J36">
            <v>9468.4</v>
          </cell>
        </row>
        <row r="37">
          <cell r="A37">
            <v>37035</v>
          </cell>
          <cell r="B37">
            <v>18.857099999999999</v>
          </cell>
          <cell r="C37">
            <v>126863</v>
          </cell>
          <cell r="D37">
            <v>18.857099999999999</v>
          </cell>
          <cell r="E37">
            <v>18.788599999999999</v>
          </cell>
          <cell r="F37">
            <v>18.814299999999999</v>
          </cell>
          <cell r="G37">
            <v>37035</v>
          </cell>
          <cell r="I37">
            <v>37035</v>
          </cell>
          <cell r="J37">
            <v>9616.2000000000007</v>
          </cell>
        </row>
        <row r="38">
          <cell r="A38">
            <v>37034</v>
          </cell>
          <cell r="B38">
            <v>18.814299999999999</v>
          </cell>
          <cell r="C38">
            <v>60201</v>
          </cell>
          <cell r="D38">
            <v>18.84</v>
          </cell>
          <cell r="E38">
            <v>18.66</v>
          </cell>
          <cell r="F38">
            <v>18.814299999999999</v>
          </cell>
          <cell r="G38">
            <v>37034</v>
          </cell>
          <cell r="I38">
            <v>37034</v>
          </cell>
          <cell r="J38">
            <v>9632.6</v>
          </cell>
        </row>
        <row r="39">
          <cell r="A39">
            <v>37033</v>
          </cell>
          <cell r="B39">
            <v>18.814299999999999</v>
          </cell>
          <cell r="C39">
            <v>54993</v>
          </cell>
          <cell r="D39">
            <v>18.822900000000001</v>
          </cell>
          <cell r="E39">
            <v>18.642900000000001</v>
          </cell>
          <cell r="F39">
            <v>18.642900000000001</v>
          </cell>
          <cell r="G39">
            <v>37033</v>
          </cell>
          <cell r="I39">
            <v>37033</v>
          </cell>
          <cell r="J39">
            <v>9626.9</v>
          </cell>
        </row>
        <row r="40">
          <cell r="A40">
            <v>37032</v>
          </cell>
          <cell r="B40">
            <v>18.694299999999998</v>
          </cell>
          <cell r="C40">
            <v>36415</v>
          </cell>
          <cell r="D40">
            <v>18.694299999999998</v>
          </cell>
          <cell r="E40">
            <v>18.600000000000001</v>
          </cell>
          <cell r="F40">
            <v>18.617100000000001</v>
          </cell>
          <cell r="G40">
            <v>37032</v>
          </cell>
          <cell r="I40">
            <v>37032</v>
          </cell>
          <cell r="J40">
            <v>9678.2000000000007</v>
          </cell>
        </row>
        <row r="41">
          <cell r="A41">
            <v>37029</v>
          </cell>
          <cell r="B41">
            <v>18.600000000000001</v>
          </cell>
          <cell r="C41">
            <v>65498</v>
          </cell>
          <cell r="D41">
            <v>18.677099999999999</v>
          </cell>
          <cell r="E41">
            <v>18.5657</v>
          </cell>
          <cell r="F41">
            <v>18.642900000000001</v>
          </cell>
          <cell r="G41">
            <v>37029</v>
          </cell>
          <cell r="I41">
            <v>37029</v>
          </cell>
          <cell r="J41">
            <v>9728.4</v>
          </cell>
        </row>
        <row r="42">
          <cell r="A42">
            <v>37028</v>
          </cell>
          <cell r="B42">
            <v>18.651399999999999</v>
          </cell>
          <cell r="C42">
            <v>43401</v>
          </cell>
          <cell r="D42">
            <v>18.754300000000001</v>
          </cell>
          <cell r="E42">
            <v>18.642900000000001</v>
          </cell>
          <cell r="F42">
            <v>18.745699999999999</v>
          </cell>
          <cell r="G42">
            <v>37028</v>
          </cell>
          <cell r="I42">
            <v>37028</v>
          </cell>
          <cell r="J42">
            <v>9661.5</v>
          </cell>
        </row>
        <row r="43">
          <cell r="A43">
            <v>37027</v>
          </cell>
          <cell r="B43">
            <v>18.677099999999999</v>
          </cell>
          <cell r="C43">
            <v>53769</v>
          </cell>
          <cell r="D43">
            <v>18.848600000000001</v>
          </cell>
          <cell r="E43">
            <v>18.677099999999999</v>
          </cell>
          <cell r="F43">
            <v>18.7714</v>
          </cell>
          <cell r="G43">
            <v>37027</v>
          </cell>
          <cell r="I43">
            <v>37027</v>
          </cell>
          <cell r="J43">
            <v>9588.1</v>
          </cell>
        </row>
        <row r="44">
          <cell r="A44">
            <v>37026</v>
          </cell>
          <cell r="B44">
            <v>18.7714</v>
          </cell>
          <cell r="C44">
            <v>45598</v>
          </cell>
          <cell r="D44">
            <v>18.822900000000001</v>
          </cell>
          <cell r="E44">
            <v>18.685700000000001</v>
          </cell>
          <cell r="F44">
            <v>18.788599999999999</v>
          </cell>
          <cell r="G44">
            <v>37026</v>
          </cell>
          <cell r="I44">
            <v>37026</v>
          </cell>
          <cell r="J44">
            <v>9667.6</v>
          </cell>
        </row>
        <row r="45">
          <cell r="A45">
            <v>37025</v>
          </cell>
          <cell r="B45">
            <v>18.788599999999999</v>
          </cell>
          <cell r="C45">
            <v>48201</v>
          </cell>
          <cell r="D45">
            <v>18.831399999999999</v>
          </cell>
          <cell r="E45">
            <v>18.685700000000001</v>
          </cell>
          <cell r="F45">
            <v>18.805700000000002</v>
          </cell>
          <cell r="G45">
            <v>37025</v>
          </cell>
          <cell r="I45">
            <v>37025</v>
          </cell>
          <cell r="J45">
            <v>9602.2000000000007</v>
          </cell>
        </row>
        <row r="46">
          <cell r="A46">
            <v>37022</v>
          </cell>
          <cell r="B46">
            <v>18.7971</v>
          </cell>
          <cell r="C46">
            <v>66578</v>
          </cell>
          <cell r="D46">
            <v>18.899999999999999</v>
          </cell>
          <cell r="E46">
            <v>18.788599999999999</v>
          </cell>
          <cell r="F46">
            <v>18.899999999999999</v>
          </cell>
          <cell r="G46">
            <v>37022</v>
          </cell>
          <cell r="I46">
            <v>37022</v>
          </cell>
          <cell r="J46">
            <v>9684.5</v>
          </cell>
        </row>
        <row r="47">
          <cell r="A47">
            <v>37021</v>
          </cell>
          <cell r="B47">
            <v>18.899999999999999</v>
          </cell>
          <cell r="C47">
            <v>154715</v>
          </cell>
          <cell r="D47">
            <v>18.899999999999999</v>
          </cell>
          <cell r="E47">
            <v>18.7714</v>
          </cell>
          <cell r="F47">
            <v>18.899999999999999</v>
          </cell>
          <cell r="G47">
            <v>37021</v>
          </cell>
          <cell r="I47">
            <v>37021</v>
          </cell>
          <cell r="J47">
            <v>9781.5</v>
          </cell>
        </row>
        <row r="48">
          <cell r="A48">
            <v>37020</v>
          </cell>
          <cell r="B48">
            <v>18.857099999999999</v>
          </cell>
          <cell r="C48">
            <v>77156</v>
          </cell>
          <cell r="D48">
            <v>18.942900000000002</v>
          </cell>
          <cell r="E48">
            <v>18.857099999999999</v>
          </cell>
          <cell r="F48">
            <v>18.942900000000002</v>
          </cell>
          <cell r="G48">
            <v>37020</v>
          </cell>
          <cell r="I48">
            <v>37020</v>
          </cell>
          <cell r="J48">
            <v>9654.2999999999993</v>
          </cell>
        </row>
        <row r="49">
          <cell r="A49">
            <v>37019</v>
          </cell>
          <cell r="B49">
            <v>18.9086</v>
          </cell>
          <cell r="C49">
            <v>48849</v>
          </cell>
          <cell r="D49">
            <v>19.011399999999998</v>
          </cell>
          <cell r="E49">
            <v>18.874300000000002</v>
          </cell>
          <cell r="F49">
            <v>19.011399999999998</v>
          </cell>
          <cell r="G49">
            <v>37019</v>
          </cell>
          <cell r="I49">
            <v>37019</v>
          </cell>
          <cell r="J49">
            <v>9658</v>
          </cell>
        </row>
        <row r="50">
          <cell r="A50">
            <v>37018</v>
          </cell>
          <cell r="B50">
            <v>18.882899999999999</v>
          </cell>
          <cell r="C50">
            <v>78986</v>
          </cell>
          <cell r="D50">
            <v>19.028600000000001</v>
          </cell>
          <cell r="E50">
            <v>18.874300000000002</v>
          </cell>
          <cell r="F50">
            <v>18.942900000000002</v>
          </cell>
          <cell r="G50">
            <v>37018</v>
          </cell>
          <cell r="I50">
            <v>37018</v>
          </cell>
          <cell r="J50">
            <v>9589.2000000000007</v>
          </cell>
        </row>
        <row r="51">
          <cell r="A51">
            <v>37015</v>
          </cell>
          <cell r="B51">
            <v>18.96</v>
          </cell>
          <cell r="C51">
            <v>76585</v>
          </cell>
          <cell r="D51">
            <v>18.968599999999999</v>
          </cell>
          <cell r="E51">
            <v>18.7714</v>
          </cell>
          <cell r="F51">
            <v>18.7714</v>
          </cell>
          <cell r="G51">
            <v>37015</v>
          </cell>
          <cell r="I51">
            <v>37015</v>
          </cell>
          <cell r="J51">
            <v>9542.7000000000007</v>
          </cell>
        </row>
        <row r="52">
          <cell r="A52">
            <v>37014</v>
          </cell>
          <cell r="B52">
            <v>18.857099999999999</v>
          </cell>
          <cell r="C52">
            <v>136318</v>
          </cell>
          <cell r="D52">
            <v>19.011399999999998</v>
          </cell>
          <cell r="E52">
            <v>18.694299999999998</v>
          </cell>
          <cell r="F52">
            <v>18.814299999999999</v>
          </cell>
          <cell r="G52">
            <v>37014</v>
          </cell>
          <cell r="I52">
            <v>37014</v>
          </cell>
          <cell r="J52">
            <v>9497.2000000000007</v>
          </cell>
        </row>
        <row r="53">
          <cell r="A53">
            <v>37013</v>
          </cell>
          <cell r="B53">
            <v>19.011399999999998</v>
          </cell>
          <cell r="C53">
            <v>107375</v>
          </cell>
          <cell r="D53">
            <v>19.0886</v>
          </cell>
          <cell r="E53">
            <v>18.651399999999999</v>
          </cell>
          <cell r="F53">
            <v>18.685700000000001</v>
          </cell>
          <cell r="G53">
            <v>37013</v>
          </cell>
          <cell r="I53">
            <v>37013</v>
          </cell>
          <cell r="J53">
            <v>9633.5</v>
          </cell>
        </row>
        <row r="54">
          <cell r="A54">
            <v>37011</v>
          </cell>
          <cell r="B54">
            <v>18.857099999999999</v>
          </cell>
          <cell r="C54">
            <v>214349</v>
          </cell>
          <cell r="D54">
            <v>19.1143</v>
          </cell>
          <cell r="E54">
            <v>18.557099999999998</v>
          </cell>
          <cell r="F54">
            <v>18.7714</v>
          </cell>
          <cell r="G54">
            <v>37011</v>
          </cell>
          <cell r="I54">
            <v>37011</v>
          </cell>
          <cell r="J54">
            <v>9761</v>
          </cell>
        </row>
        <row r="55">
          <cell r="A55">
            <v>37008</v>
          </cell>
          <cell r="B55">
            <v>18.7714</v>
          </cell>
          <cell r="C55">
            <v>143212</v>
          </cell>
          <cell r="D55">
            <v>18.7714</v>
          </cell>
          <cell r="E55">
            <v>18.445699999999999</v>
          </cell>
          <cell r="F55">
            <v>18.48</v>
          </cell>
          <cell r="G55">
            <v>37008</v>
          </cell>
          <cell r="I55">
            <v>37008</v>
          </cell>
          <cell r="J55">
            <v>9634.6</v>
          </cell>
        </row>
        <row r="56">
          <cell r="A56">
            <v>37007</v>
          </cell>
          <cell r="B56">
            <v>18.72</v>
          </cell>
          <cell r="C56">
            <v>266569</v>
          </cell>
          <cell r="D56">
            <v>18.754300000000001</v>
          </cell>
          <cell r="E56">
            <v>18.2743</v>
          </cell>
          <cell r="F56">
            <v>18.3</v>
          </cell>
          <cell r="G56">
            <v>37007</v>
          </cell>
          <cell r="I56">
            <v>37007</v>
          </cell>
          <cell r="J56">
            <v>9523.9</v>
          </cell>
        </row>
        <row r="57">
          <cell r="A57">
            <v>37006</v>
          </cell>
          <cell r="B57">
            <v>18.265699999999999</v>
          </cell>
          <cell r="C57">
            <v>203978</v>
          </cell>
          <cell r="D57">
            <v>18.420000000000002</v>
          </cell>
          <cell r="E57">
            <v>18.257100000000001</v>
          </cell>
          <cell r="F57">
            <v>18.282900000000001</v>
          </cell>
          <cell r="G57">
            <v>37006</v>
          </cell>
          <cell r="I57">
            <v>37006</v>
          </cell>
          <cell r="J57">
            <v>9350.4</v>
          </cell>
        </row>
        <row r="58">
          <cell r="A58">
            <v>37005</v>
          </cell>
          <cell r="B58">
            <v>18.445699999999999</v>
          </cell>
          <cell r="C58">
            <v>446789</v>
          </cell>
          <cell r="D58">
            <v>18.651399999999999</v>
          </cell>
          <cell r="E58">
            <v>18.428599999999999</v>
          </cell>
          <cell r="F58">
            <v>18.428599999999999</v>
          </cell>
          <cell r="G58">
            <v>37005</v>
          </cell>
          <cell r="I58">
            <v>37005</v>
          </cell>
          <cell r="J58">
            <v>9418.9</v>
          </cell>
        </row>
        <row r="59">
          <cell r="A59">
            <v>37004</v>
          </cell>
          <cell r="B59">
            <v>18.531400000000001</v>
          </cell>
          <cell r="C59">
            <v>781031</v>
          </cell>
          <cell r="D59">
            <v>19.1143</v>
          </cell>
          <cell r="E59">
            <v>18.531400000000001</v>
          </cell>
          <cell r="F59">
            <v>19.1143</v>
          </cell>
          <cell r="G59">
            <v>37004</v>
          </cell>
          <cell r="I59">
            <v>37004</v>
          </cell>
          <cell r="J59">
            <v>9269.4</v>
          </cell>
        </row>
        <row r="60">
          <cell r="A60">
            <v>37001</v>
          </cell>
          <cell r="B60">
            <v>19.371400000000001</v>
          </cell>
          <cell r="C60">
            <v>847540</v>
          </cell>
          <cell r="D60">
            <v>20.125699999999998</v>
          </cell>
          <cell r="E60">
            <v>19.285699999999999</v>
          </cell>
          <cell r="F60">
            <v>20.125699999999998</v>
          </cell>
          <cell r="G60">
            <v>37001</v>
          </cell>
          <cell r="I60">
            <v>37001</v>
          </cell>
          <cell r="J60">
            <v>9547.5</v>
          </cell>
        </row>
        <row r="61">
          <cell r="A61">
            <v>37000</v>
          </cell>
          <cell r="B61">
            <v>20.185700000000001</v>
          </cell>
          <cell r="C61">
            <v>720840</v>
          </cell>
          <cell r="D61">
            <v>20.828600000000002</v>
          </cell>
          <cell r="E61">
            <v>20.185700000000001</v>
          </cell>
          <cell r="F61">
            <v>20.6571</v>
          </cell>
          <cell r="G61">
            <v>37000</v>
          </cell>
          <cell r="I61">
            <v>37000</v>
          </cell>
          <cell r="J61">
            <v>9798</v>
          </cell>
        </row>
        <row r="62">
          <cell r="A62">
            <v>36999</v>
          </cell>
          <cell r="B62">
            <v>20.64</v>
          </cell>
          <cell r="C62">
            <v>3355490</v>
          </cell>
          <cell r="D62">
            <v>20.742899999999999</v>
          </cell>
          <cell r="E62">
            <v>19.542899999999999</v>
          </cell>
          <cell r="F62">
            <v>19.6114</v>
          </cell>
          <cell r="G62">
            <v>36999</v>
          </cell>
          <cell r="I62">
            <v>36999</v>
          </cell>
          <cell r="J62">
            <v>9797.7999999999993</v>
          </cell>
        </row>
        <row r="63">
          <cell r="A63" t="e">
            <v>#N/A</v>
          </cell>
          <cell r="B63" t="e">
            <v>#N/A</v>
          </cell>
          <cell r="C63" t="e">
            <v>#N/A</v>
          </cell>
          <cell r="D63" t="e">
            <v>#N/A</v>
          </cell>
          <cell r="E63" t="e">
            <v>#N/A</v>
          </cell>
          <cell r="F63" t="e">
            <v>#N/A</v>
          </cell>
          <cell r="G63">
            <v>36998</v>
          </cell>
          <cell r="I63">
            <v>36998</v>
          </cell>
          <cell r="J63">
            <v>9526.5</v>
          </cell>
        </row>
        <row r="64">
          <cell r="A64" t="e">
            <v>#N/A</v>
          </cell>
          <cell r="B64" t="e">
            <v>#N/A</v>
          </cell>
          <cell r="C64" t="e">
            <v>#N/A</v>
          </cell>
          <cell r="D64" t="e">
            <v>#N/A</v>
          </cell>
          <cell r="E64" t="e">
            <v>#N/A</v>
          </cell>
          <cell r="F64" t="e">
            <v>#N/A</v>
          </cell>
          <cell r="G64">
            <v>36993</v>
          </cell>
          <cell r="I64">
            <v>36993</v>
          </cell>
          <cell r="J64">
            <v>9648.7999999999993</v>
          </cell>
        </row>
        <row r="65">
          <cell r="A65" t="e">
            <v>#N/A</v>
          </cell>
          <cell r="B65" t="e">
            <v>#N/A</v>
          </cell>
          <cell r="C65" t="e">
            <v>#N/A</v>
          </cell>
          <cell r="D65" t="e">
            <v>#N/A</v>
          </cell>
          <cell r="E65" t="e">
            <v>#N/A</v>
          </cell>
          <cell r="F65" t="e">
            <v>#N/A</v>
          </cell>
          <cell r="G65">
            <v>36992</v>
          </cell>
          <cell r="I65">
            <v>36992</v>
          </cell>
          <cell r="J65">
            <v>9613.9</v>
          </cell>
        </row>
        <row r="66">
          <cell r="A66" t="e">
            <v>#N/A</v>
          </cell>
          <cell r="B66" t="e">
            <v>#N/A</v>
          </cell>
          <cell r="C66" t="e">
            <v>#N/A</v>
          </cell>
          <cell r="D66" t="e">
            <v>#N/A</v>
          </cell>
          <cell r="E66" t="e">
            <v>#N/A</v>
          </cell>
          <cell r="F66" t="e">
            <v>#N/A</v>
          </cell>
          <cell r="G66">
            <v>36991</v>
          </cell>
          <cell r="I66">
            <v>36991</v>
          </cell>
          <cell r="J66">
            <v>9601.7999999999993</v>
          </cell>
        </row>
        <row r="67">
          <cell r="A67" t="e">
            <v>#N/A</v>
          </cell>
          <cell r="B67" t="e">
            <v>#N/A</v>
          </cell>
          <cell r="C67" t="e">
            <v>#N/A</v>
          </cell>
          <cell r="D67" t="e">
            <v>#N/A</v>
          </cell>
          <cell r="E67" t="e">
            <v>#N/A</v>
          </cell>
          <cell r="F67" t="e">
            <v>#N/A</v>
          </cell>
          <cell r="G67">
            <v>36990</v>
          </cell>
          <cell r="I67">
            <v>36990</v>
          </cell>
          <cell r="J67">
            <v>9453.5</v>
          </cell>
        </row>
        <row r="68">
          <cell r="A68" t="e">
            <v>#N/A</v>
          </cell>
          <cell r="B68" t="e">
            <v>#N/A</v>
          </cell>
          <cell r="C68" t="e">
            <v>#N/A</v>
          </cell>
          <cell r="D68" t="e">
            <v>#N/A</v>
          </cell>
          <cell r="E68" t="e">
            <v>#N/A</v>
          </cell>
          <cell r="F68" t="e">
            <v>#N/A</v>
          </cell>
          <cell r="G68">
            <v>36987</v>
          </cell>
          <cell r="I68">
            <v>36987</v>
          </cell>
          <cell r="J68">
            <v>9328.4</v>
          </cell>
        </row>
        <row r="69">
          <cell r="A69" t="e">
            <v>#N/A</v>
          </cell>
          <cell r="B69" t="e">
            <v>#N/A</v>
          </cell>
          <cell r="C69" t="e">
            <v>#N/A</v>
          </cell>
          <cell r="D69" t="e">
            <v>#N/A</v>
          </cell>
          <cell r="E69" t="e">
            <v>#N/A</v>
          </cell>
          <cell r="F69" t="e">
            <v>#N/A</v>
          </cell>
          <cell r="G69">
            <v>36986</v>
          </cell>
          <cell r="I69">
            <v>36986</v>
          </cell>
          <cell r="J69">
            <v>9340.2000000000007</v>
          </cell>
        </row>
        <row r="70">
          <cell r="A70" t="e">
            <v>#N/A</v>
          </cell>
          <cell r="B70" t="e">
            <v>#N/A</v>
          </cell>
          <cell r="C70" t="e">
            <v>#N/A</v>
          </cell>
          <cell r="D70" t="e">
            <v>#N/A</v>
          </cell>
          <cell r="E70" t="e">
            <v>#N/A</v>
          </cell>
          <cell r="F70" t="e">
            <v>#N/A</v>
          </cell>
          <cell r="G70">
            <v>36985</v>
          </cell>
          <cell r="I70">
            <v>36985</v>
          </cell>
          <cell r="J70">
            <v>9172.4</v>
          </cell>
        </row>
        <row r="71">
          <cell r="A71" t="e">
            <v>#N/A</v>
          </cell>
          <cell r="B71" t="e">
            <v>#N/A</v>
          </cell>
          <cell r="C71" t="e">
            <v>#N/A</v>
          </cell>
          <cell r="D71" t="e">
            <v>#N/A</v>
          </cell>
          <cell r="E71" t="e">
            <v>#N/A</v>
          </cell>
          <cell r="F71" t="e">
            <v>#N/A</v>
          </cell>
          <cell r="G71">
            <v>36984</v>
          </cell>
          <cell r="I71">
            <v>36984</v>
          </cell>
          <cell r="J71">
            <v>9011.7999999999993</v>
          </cell>
        </row>
        <row r="72">
          <cell r="A72" t="e">
            <v>#N/A</v>
          </cell>
          <cell r="B72" t="e">
            <v>#N/A</v>
          </cell>
          <cell r="C72" t="e">
            <v>#N/A</v>
          </cell>
          <cell r="D72" t="e">
            <v>#N/A</v>
          </cell>
          <cell r="E72" t="e">
            <v>#N/A</v>
          </cell>
          <cell r="F72" t="e">
            <v>#N/A</v>
          </cell>
          <cell r="G72">
            <v>36983</v>
          </cell>
          <cell r="I72">
            <v>36983</v>
          </cell>
          <cell r="J72">
            <v>9324.2999999999993</v>
          </cell>
        </row>
        <row r="73">
          <cell r="A73" t="e">
            <v>#N/A</v>
          </cell>
          <cell r="B73" t="e">
            <v>#N/A</v>
          </cell>
          <cell r="C73" t="e">
            <v>#N/A</v>
          </cell>
          <cell r="D73" t="e">
            <v>#N/A</v>
          </cell>
          <cell r="E73" t="e">
            <v>#N/A</v>
          </cell>
          <cell r="F73" t="e">
            <v>#N/A</v>
          </cell>
          <cell r="G73">
            <v>36980</v>
          </cell>
          <cell r="I73">
            <v>36980</v>
          </cell>
          <cell r="J73">
            <v>9308.2999999999993</v>
          </cell>
        </row>
        <row r="74">
          <cell r="A74" t="e">
            <v>#N/A</v>
          </cell>
          <cell r="B74" t="e">
            <v>#N/A</v>
          </cell>
          <cell r="C74" t="e">
            <v>#N/A</v>
          </cell>
          <cell r="D74" t="e">
            <v>#N/A</v>
          </cell>
          <cell r="E74" t="e">
            <v>#N/A</v>
          </cell>
          <cell r="F74" t="e">
            <v>#N/A</v>
          </cell>
          <cell r="G74">
            <v>36979</v>
          </cell>
          <cell r="I74">
            <v>36979</v>
          </cell>
          <cell r="J74">
            <v>9222.7999999999993</v>
          </cell>
        </row>
        <row r="75">
          <cell r="A75" t="e">
            <v>#N/A</v>
          </cell>
          <cell r="B75" t="e">
            <v>#N/A</v>
          </cell>
          <cell r="C75" t="e">
            <v>#N/A</v>
          </cell>
          <cell r="D75" t="e">
            <v>#N/A</v>
          </cell>
          <cell r="E75" t="e">
            <v>#N/A</v>
          </cell>
          <cell r="F75" t="e">
            <v>#N/A</v>
          </cell>
          <cell r="G75">
            <v>36978</v>
          </cell>
          <cell r="I75">
            <v>36978</v>
          </cell>
          <cell r="J75">
            <v>9163.4</v>
          </cell>
        </row>
        <row r="76">
          <cell r="A76" t="e">
            <v>#N/A</v>
          </cell>
          <cell r="B76" t="e">
            <v>#N/A</v>
          </cell>
          <cell r="C76" t="e">
            <v>#N/A</v>
          </cell>
          <cell r="D76" t="e">
            <v>#N/A</v>
          </cell>
          <cell r="E76" t="e">
            <v>#N/A</v>
          </cell>
          <cell r="F76" t="e">
            <v>#N/A</v>
          </cell>
          <cell r="G76">
            <v>36977</v>
          </cell>
          <cell r="I76">
            <v>36977</v>
          </cell>
          <cell r="J76">
            <v>9263.2999999999993</v>
          </cell>
        </row>
        <row r="77">
          <cell r="A77" t="e">
            <v>#N/A</v>
          </cell>
          <cell r="B77" t="e">
            <v>#N/A</v>
          </cell>
          <cell r="C77" t="e">
            <v>#N/A</v>
          </cell>
          <cell r="D77" t="e">
            <v>#N/A</v>
          </cell>
          <cell r="E77" t="e">
            <v>#N/A</v>
          </cell>
          <cell r="F77" t="e">
            <v>#N/A</v>
          </cell>
          <cell r="G77">
            <v>36976</v>
          </cell>
          <cell r="I77">
            <v>36976</v>
          </cell>
          <cell r="J77">
            <v>9063.4</v>
          </cell>
        </row>
        <row r="78">
          <cell r="A78" t="e">
            <v>#N/A</v>
          </cell>
          <cell r="B78" t="e">
            <v>#N/A</v>
          </cell>
          <cell r="C78" t="e">
            <v>#N/A</v>
          </cell>
          <cell r="D78" t="e">
            <v>#N/A</v>
          </cell>
          <cell r="E78" t="e">
            <v>#N/A</v>
          </cell>
          <cell r="F78" t="e">
            <v>#N/A</v>
          </cell>
          <cell r="G78">
            <v>36973</v>
          </cell>
          <cell r="I78">
            <v>36973</v>
          </cell>
          <cell r="J78">
            <v>8810.5</v>
          </cell>
        </row>
        <row r="79">
          <cell r="A79" t="e">
            <v>#N/A</v>
          </cell>
          <cell r="B79" t="e">
            <v>#N/A</v>
          </cell>
          <cell r="C79" t="e">
            <v>#N/A</v>
          </cell>
          <cell r="D79" t="e">
            <v>#N/A</v>
          </cell>
          <cell r="E79" t="e">
            <v>#N/A</v>
          </cell>
          <cell r="F79" t="e">
            <v>#N/A</v>
          </cell>
          <cell r="G79">
            <v>36972</v>
          </cell>
          <cell r="I79">
            <v>36972</v>
          </cell>
          <cell r="J79">
            <v>8531.7999999999993</v>
          </cell>
        </row>
        <row r="80">
          <cell r="A80" t="e">
            <v>#N/A</v>
          </cell>
          <cell r="B80" t="e">
            <v>#N/A</v>
          </cell>
          <cell r="C80" t="e">
            <v>#N/A</v>
          </cell>
          <cell r="D80" t="e">
            <v>#N/A</v>
          </cell>
          <cell r="E80" t="e">
            <v>#N/A</v>
          </cell>
          <cell r="F80" t="e">
            <v>#N/A</v>
          </cell>
          <cell r="G80">
            <v>36971</v>
          </cell>
          <cell r="I80">
            <v>36971</v>
          </cell>
          <cell r="J80">
            <v>8899.7999999999993</v>
          </cell>
        </row>
        <row r="81">
          <cell r="A81" t="e">
            <v>#N/A</v>
          </cell>
          <cell r="B81" t="e">
            <v>#N/A</v>
          </cell>
          <cell r="C81" t="e">
            <v>#N/A</v>
          </cell>
          <cell r="D81" t="e">
            <v>#N/A</v>
          </cell>
          <cell r="E81" t="e">
            <v>#N/A</v>
          </cell>
          <cell r="F81" t="e">
            <v>#N/A</v>
          </cell>
          <cell r="G81">
            <v>36970</v>
          </cell>
          <cell r="I81">
            <v>36970</v>
          </cell>
          <cell r="J81">
            <v>9216.7000000000007</v>
          </cell>
        </row>
        <row r="82">
          <cell r="A82" t="e">
            <v>#N/A</v>
          </cell>
          <cell r="B82" t="e">
            <v>#N/A</v>
          </cell>
          <cell r="C82" t="e">
            <v>#N/A</v>
          </cell>
          <cell r="D82" t="e">
            <v>#N/A</v>
          </cell>
          <cell r="E82" t="e">
            <v>#N/A</v>
          </cell>
          <cell r="F82" t="e">
            <v>#N/A</v>
          </cell>
          <cell r="G82">
            <v>36969</v>
          </cell>
          <cell r="I82">
            <v>36969</v>
          </cell>
          <cell r="J82">
            <v>9251.2999999999993</v>
          </cell>
        </row>
        <row r="83">
          <cell r="A83" t="e">
            <v>#N/A</v>
          </cell>
          <cell r="B83" t="e">
            <v>#N/A</v>
          </cell>
          <cell r="C83" t="e">
            <v>#N/A</v>
          </cell>
          <cell r="D83" t="e">
            <v>#N/A</v>
          </cell>
          <cell r="E83" t="e">
            <v>#N/A</v>
          </cell>
          <cell r="F83" t="e">
            <v>#N/A</v>
          </cell>
          <cell r="G83">
            <v>36966</v>
          </cell>
          <cell r="I83">
            <v>36966</v>
          </cell>
          <cell r="J83">
            <v>9290</v>
          </cell>
        </row>
        <row r="84">
          <cell r="A84" t="e">
            <v>#N/A</v>
          </cell>
          <cell r="B84" t="e">
            <v>#N/A</v>
          </cell>
          <cell r="C84" t="e">
            <v>#N/A</v>
          </cell>
          <cell r="D84" t="e">
            <v>#N/A</v>
          </cell>
          <cell r="E84" t="e">
            <v>#N/A</v>
          </cell>
          <cell r="F84" t="e">
            <v>#N/A</v>
          </cell>
          <cell r="G84">
            <v>36965</v>
          </cell>
          <cell r="I84">
            <v>36965</v>
          </cell>
          <cell r="J84">
            <v>9476.2999999999993</v>
          </cell>
        </row>
        <row r="85">
          <cell r="A85" t="e">
            <v>#N/A</v>
          </cell>
          <cell r="B85" t="e">
            <v>#N/A</v>
          </cell>
          <cell r="C85" t="e">
            <v>#N/A</v>
          </cell>
          <cell r="D85" t="e">
            <v>#N/A</v>
          </cell>
          <cell r="E85" t="e">
            <v>#N/A</v>
          </cell>
          <cell r="F85" t="e">
            <v>#N/A</v>
          </cell>
          <cell r="G85">
            <v>36964</v>
          </cell>
          <cell r="I85">
            <v>36964</v>
          </cell>
          <cell r="J85">
            <v>9393</v>
          </cell>
        </row>
        <row r="86">
          <cell r="A86" t="e">
            <v>#N/A</v>
          </cell>
          <cell r="B86" t="e">
            <v>#N/A</v>
          </cell>
          <cell r="C86" t="e">
            <v>#N/A</v>
          </cell>
          <cell r="D86" t="e">
            <v>#N/A</v>
          </cell>
          <cell r="E86" t="e">
            <v>#N/A</v>
          </cell>
          <cell r="F86" t="e">
            <v>#N/A</v>
          </cell>
          <cell r="G86">
            <v>36963</v>
          </cell>
          <cell r="I86">
            <v>36963</v>
          </cell>
          <cell r="J86">
            <v>9510.9</v>
          </cell>
        </row>
        <row r="87">
          <cell r="A87" t="e">
            <v>#N/A</v>
          </cell>
          <cell r="B87" t="e">
            <v>#N/A</v>
          </cell>
          <cell r="C87" t="e">
            <v>#N/A</v>
          </cell>
          <cell r="D87" t="e">
            <v>#N/A</v>
          </cell>
          <cell r="E87" t="e">
            <v>#N/A</v>
          </cell>
          <cell r="F87" t="e">
            <v>#N/A</v>
          </cell>
          <cell r="G87">
            <v>36962</v>
          </cell>
          <cell r="I87">
            <v>36962</v>
          </cell>
          <cell r="J87">
            <v>9494.7999999999993</v>
          </cell>
        </row>
        <row r="88">
          <cell r="A88" t="e">
            <v>#N/A</v>
          </cell>
          <cell r="B88" t="e">
            <v>#N/A</v>
          </cell>
          <cell r="C88" t="e">
            <v>#N/A</v>
          </cell>
          <cell r="D88" t="e">
            <v>#N/A</v>
          </cell>
          <cell r="E88" t="e">
            <v>#N/A</v>
          </cell>
          <cell r="F88" t="e">
            <v>#N/A</v>
          </cell>
          <cell r="G88">
            <v>36959</v>
          </cell>
          <cell r="I88">
            <v>36959</v>
          </cell>
          <cell r="J88">
            <v>9726.6</v>
          </cell>
        </row>
        <row r="89">
          <cell r="A89" t="e">
            <v>#N/A</v>
          </cell>
          <cell r="B89" t="e">
            <v>#N/A</v>
          </cell>
          <cell r="C89" t="e">
            <v>#N/A</v>
          </cell>
          <cell r="D89" t="e">
            <v>#N/A</v>
          </cell>
          <cell r="E89" t="e">
            <v>#N/A</v>
          </cell>
          <cell r="F89" t="e">
            <v>#N/A</v>
          </cell>
          <cell r="G89">
            <v>36958</v>
          </cell>
          <cell r="I89">
            <v>36958</v>
          </cell>
          <cell r="J89">
            <v>9798.2000000000007</v>
          </cell>
        </row>
        <row r="90">
          <cell r="A90" t="e">
            <v>#N/A</v>
          </cell>
          <cell r="B90" t="e">
            <v>#N/A</v>
          </cell>
          <cell r="C90" t="e">
            <v>#N/A</v>
          </cell>
          <cell r="D90" t="e">
            <v>#N/A</v>
          </cell>
          <cell r="E90" t="e">
            <v>#N/A</v>
          </cell>
          <cell r="F90" t="e">
            <v>#N/A</v>
          </cell>
          <cell r="G90">
            <v>36957</v>
          </cell>
          <cell r="I90">
            <v>36957</v>
          </cell>
          <cell r="J90">
            <v>9923.2999999999993</v>
          </cell>
        </row>
        <row r="91">
          <cell r="A91" t="e">
            <v>#N/A</v>
          </cell>
          <cell r="B91" t="e">
            <v>#N/A</v>
          </cell>
          <cell r="C91" t="e">
            <v>#N/A</v>
          </cell>
          <cell r="D91" t="e">
            <v>#N/A</v>
          </cell>
          <cell r="E91" t="e">
            <v>#N/A</v>
          </cell>
          <cell r="F91" t="e">
            <v>#N/A</v>
          </cell>
          <cell r="G91">
            <v>36956</v>
          </cell>
          <cell r="I91">
            <v>36956</v>
          </cell>
          <cell r="J91">
            <v>9892.1</v>
          </cell>
        </row>
        <row r="92">
          <cell r="A92" t="e">
            <v>#N/A</v>
          </cell>
          <cell r="B92" t="e">
            <v>#N/A</v>
          </cell>
          <cell r="C92" t="e">
            <v>#N/A</v>
          </cell>
          <cell r="D92" t="e">
            <v>#N/A</v>
          </cell>
          <cell r="E92" t="e">
            <v>#N/A</v>
          </cell>
          <cell r="F92" t="e">
            <v>#N/A</v>
          </cell>
          <cell r="G92">
            <v>36955</v>
          </cell>
          <cell r="I92">
            <v>36955</v>
          </cell>
          <cell r="J92">
            <v>9688.1</v>
          </cell>
        </row>
        <row r="93">
          <cell r="A93" t="e">
            <v>#N/A</v>
          </cell>
          <cell r="B93" t="e">
            <v>#N/A</v>
          </cell>
          <cell r="C93" t="e">
            <v>#N/A</v>
          </cell>
          <cell r="D93" t="e">
            <v>#N/A</v>
          </cell>
          <cell r="E93" t="e">
            <v>#N/A</v>
          </cell>
          <cell r="F93" t="e">
            <v>#N/A</v>
          </cell>
          <cell r="G93">
            <v>36952</v>
          </cell>
          <cell r="I93">
            <v>36952</v>
          </cell>
          <cell r="J93">
            <v>9570.9</v>
          </cell>
        </row>
        <row r="94">
          <cell r="A94" t="e">
            <v>#N/A</v>
          </cell>
          <cell r="B94" t="e">
            <v>#N/A</v>
          </cell>
          <cell r="C94" t="e">
            <v>#N/A</v>
          </cell>
          <cell r="D94" t="e">
            <v>#N/A</v>
          </cell>
          <cell r="E94" t="e">
            <v>#N/A</v>
          </cell>
          <cell r="F94" t="e">
            <v>#N/A</v>
          </cell>
          <cell r="G94">
            <v>36951</v>
          </cell>
          <cell r="I94">
            <v>36951</v>
          </cell>
          <cell r="J94">
            <v>9486.1</v>
          </cell>
        </row>
        <row r="95">
          <cell r="A95" t="e">
            <v>#N/A</v>
          </cell>
          <cell r="B95" t="e">
            <v>#N/A</v>
          </cell>
          <cell r="C95" t="e">
            <v>#N/A</v>
          </cell>
          <cell r="D95" t="e">
            <v>#N/A</v>
          </cell>
          <cell r="E95" t="e">
            <v>#N/A</v>
          </cell>
          <cell r="F95" t="e">
            <v>#N/A</v>
          </cell>
          <cell r="G95">
            <v>36950</v>
          </cell>
          <cell r="I95">
            <v>36950</v>
          </cell>
          <cell r="J95">
            <v>9551.4</v>
          </cell>
        </row>
        <row r="96">
          <cell r="A96" t="e">
            <v>#N/A</v>
          </cell>
          <cell r="B96" t="e">
            <v>#N/A</v>
          </cell>
          <cell r="C96" t="e">
            <v>#N/A</v>
          </cell>
          <cell r="D96" t="e">
            <v>#N/A</v>
          </cell>
          <cell r="E96" t="e">
            <v>#N/A</v>
          </cell>
          <cell r="F96" t="e">
            <v>#N/A</v>
          </cell>
          <cell r="G96">
            <v>36949</v>
          </cell>
          <cell r="I96">
            <v>36949</v>
          </cell>
          <cell r="J96">
            <v>9554.1</v>
          </cell>
        </row>
        <row r="97">
          <cell r="A97" t="e">
            <v>#N/A</v>
          </cell>
          <cell r="B97" t="e">
            <v>#N/A</v>
          </cell>
          <cell r="C97" t="e">
            <v>#N/A</v>
          </cell>
          <cell r="D97" t="e">
            <v>#N/A</v>
          </cell>
          <cell r="E97" t="e">
            <v>#N/A</v>
          </cell>
          <cell r="F97" t="e">
            <v>#N/A</v>
          </cell>
          <cell r="G97">
            <v>36948</v>
          </cell>
          <cell r="I97">
            <v>36948</v>
          </cell>
          <cell r="J97">
            <v>9476.4</v>
          </cell>
        </row>
        <row r="98">
          <cell r="A98" t="e">
            <v>#N/A</v>
          </cell>
          <cell r="B98" t="e">
            <v>#N/A</v>
          </cell>
          <cell r="C98" t="e">
            <v>#N/A</v>
          </cell>
          <cell r="D98" t="e">
            <v>#N/A</v>
          </cell>
          <cell r="E98" t="e">
            <v>#N/A</v>
          </cell>
          <cell r="F98" t="e">
            <v>#N/A</v>
          </cell>
          <cell r="G98">
            <v>36945</v>
          </cell>
          <cell r="I98">
            <v>36945</v>
          </cell>
          <cell r="J98">
            <v>9344.7999999999993</v>
          </cell>
        </row>
        <row r="99">
          <cell r="A99" t="e">
            <v>#N/A</v>
          </cell>
          <cell r="B99" t="e">
            <v>#N/A</v>
          </cell>
          <cell r="C99" t="e">
            <v>#N/A</v>
          </cell>
          <cell r="D99" t="e">
            <v>#N/A</v>
          </cell>
          <cell r="E99" t="e">
            <v>#N/A</v>
          </cell>
          <cell r="F99" t="e">
            <v>#N/A</v>
          </cell>
          <cell r="G99">
            <v>36944</v>
          </cell>
          <cell r="I99">
            <v>36944</v>
          </cell>
          <cell r="J99">
            <v>9418.7999999999993</v>
          </cell>
        </row>
        <row r="100">
          <cell r="A100" t="e">
            <v>#N/A</v>
          </cell>
          <cell r="B100" t="e">
            <v>#N/A</v>
          </cell>
          <cell r="C100" t="e">
            <v>#N/A</v>
          </cell>
          <cell r="D100" t="e">
            <v>#N/A</v>
          </cell>
          <cell r="E100" t="e">
            <v>#N/A</v>
          </cell>
          <cell r="F100" t="e">
            <v>#N/A</v>
          </cell>
          <cell r="G100">
            <v>36943</v>
          </cell>
          <cell r="I100">
            <v>36943</v>
          </cell>
          <cell r="J100">
            <v>9592.1</v>
          </cell>
        </row>
        <row r="101">
          <cell r="A101" t="e">
            <v>#N/A</v>
          </cell>
          <cell r="B101" t="e">
            <v>#N/A</v>
          </cell>
          <cell r="C101" t="e">
            <v>#N/A</v>
          </cell>
          <cell r="D101" t="e">
            <v>#N/A</v>
          </cell>
          <cell r="E101" t="e">
            <v>#N/A</v>
          </cell>
          <cell r="F101" t="e">
            <v>#N/A</v>
          </cell>
          <cell r="G101">
            <v>36942</v>
          </cell>
          <cell r="I101">
            <v>36942</v>
          </cell>
          <cell r="J101">
            <v>9680.5</v>
          </cell>
        </row>
        <row r="102">
          <cell r="A102" t="e">
            <v>#N/A</v>
          </cell>
          <cell r="B102" t="e">
            <v>#N/A</v>
          </cell>
          <cell r="C102" t="e">
            <v>#N/A</v>
          </cell>
          <cell r="D102" t="e">
            <v>#N/A</v>
          </cell>
          <cell r="E102" t="e">
            <v>#N/A</v>
          </cell>
          <cell r="F102" t="e">
            <v>#N/A</v>
          </cell>
          <cell r="G102">
            <v>36941</v>
          </cell>
          <cell r="I102">
            <v>36941</v>
          </cell>
          <cell r="J102">
            <v>9861.2999999999993</v>
          </cell>
        </row>
        <row r="103">
          <cell r="A103" t="e">
            <v>#N/A</v>
          </cell>
          <cell r="B103" t="e">
            <v>#N/A</v>
          </cell>
          <cell r="C103" t="e">
            <v>#N/A</v>
          </cell>
          <cell r="D103" t="e">
            <v>#N/A</v>
          </cell>
          <cell r="E103" t="e">
            <v>#N/A</v>
          </cell>
          <cell r="F103" t="e">
            <v>#N/A</v>
          </cell>
          <cell r="G103">
            <v>36938</v>
          </cell>
          <cell r="I103">
            <v>36938</v>
          </cell>
          <cell r="J103">
            <v>9789.5</v>
          </cell>
        </row>
      </sheetData>
      <sheetData sheetId="1" refreshError="1"/>
      <sheetData sheetId="2" refreshError="1">
        <row r="45">
          <cell r="A45">
            <v>37013</v>
          </cell>
          <cell r="B45">
            <v>607610.69999999995</v>
          </cell>
        </row>
        <row r="46">
          <cell r="A46">
            <v>37014</v>
          </cell>
          <cell r="B46">
            <v>331543</v>
          </cell>
        </row>
        <row r="47">
          <cell r="A47">
            <v>37015</v>
          </cell>
          <cell r="B47">
            <v>276321.09999999998</v>
          </cell>
        </row>
        <row r="48">
          <cell r="A48">
            <v>37018</v>
          </cell>
          <cell r="B48">
            <v>204352</v>
          </cell>
        </row>
        <row r="49">
          <cell r="A49">
            <v>37019</v>
          </cell>
          <cell r="B49">
            <v>141593.60000000001</v>
          </cell>
        </row>
        <row r="50">
          <cell r="A50">
            <v>37020</v>
          </cell>
          <cell r="B50">
            <v>109910.8</v>
          </cell>
        </row>
        <row r="51">
          <cell r="A51">
            <v>37021</v>
          </cell>
          <cell r="B51">
            <v>105688.3</v>
          </cell>
        </row>
        <row r="52">
          <cell r="A52">
            <v>37022</v>
          </cell>
          <cell r="B52">
            <v>88546.2</v>
          </cell>
        </row>
        <row r="53">
          <cell r="A53">
            <v>37025</v>
          </cell>
          <cell r="B53">
            <v>80402.399999999994</v>
          </cell>
        </row>
        <row r="54">
          <cell r="A54">
            <v>37026</v>
          </cell>
          <cell r="B54">
            <v>65938</v>
          </cell>
        </row>
        <row r="55">
          <cell r="A55">
            <v>37027</v>
          </cell>
          <cell r="B55">
            <v>61343.199999999997</v>
          </cell>
        </row>
        <row r="56">
          <cell r="A56">
            <v>37028</v>
          </cell>
          <cell r="B56">
            <v>53378.9</v>
          </cell>
        </row>
        <row r="57">
          <cell r="A57">
            <v>37029</v>
          </cell>
          <cell r="B57">
            <v>52428.6</v>
          </cell>
        </row>
        <row r="58">
          <cell r="A58">
            <v>37032</v>
          </cell>
          <cell r="B58">
            <v>54872.7</v>
          </cell>
        </row>
        <row r="59">
          <cell r="A59">
            <v>37033</v>
          </cell>
          <cell r="B59">
            <v>55399.3</v>
          </cell>
        </row>
        <row r="60">
          <cell r="A60">
            <v>37034</v>
          </cell>
          <cell r="B60">
            <v>53946</v>
          </cell>
        </row>
        <row r="61">
          <cell r="A61">
            <v>37035</v>
          </cell>
          <cell r="B61">
            <v>51558.7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1Input"/>
      <sheetName val="Actual_Model"/>
      <sheetName val="Full_Forecast"/>
      <sheetName val="Cambios"/>
      <sheetName val="statics"/>
      <sheetName val="BILL - Current"/>
      <sheetName val="VarYear"/>
    </sheetNames>
    <sheetDataSet>
      <sheetData sheetId="0" refreshError="1">
        <row r="19">
          <cell r="G19">
            <v>9710</v>
          </cell>
        </row>
        <row r="20">
          <cell r="G20">
            <v>9720</v>
          </cell>
        </row>
        <row r="21">
          <cell r="G21">
            <v>9730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pread %s"/>
      <sheetName val="Rate Volume Anal"/>
      <sheetName val="DepMix"/>
      <sheetName val="DDA"/>
      <sheetName val="Rate-Volume (2)"/>
      <sheetName val="YTDADep"/>
      <sheetName val="Rate-Volume (3)"/>
      <sheetName val="YTDBDep"/>
      <sheetName val="CurrmonthALoans"/>
      <sheetName val="CurrmonthBLoans"/>
      <sheetName val="CurrmonthADep"/>
      <sheetName val="CurrmonthBDep"/>
      <sheetName val="YTDALoans"/>
      <sheetName val="YTDBLoans"/>
      <sheetName val="4502112-Deposits(P2)"/>
      <sheetName val="Performance Comparison -Augu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PKG"/>
      <sheetName val="Final"/>
      <sheetName val="BILL - Current"/>
      <sheetName val="Pro Forma"/>
      <sheetName val="MEPKG.XLS"/>
    </sheetNames>
    <definedNames>
      <definedName name="Import"/>
    </definedNames>
    <sheetDataSet>
      <sheetData sheetId="0" refreshError="1"/>
      <sheetData sheetId="1" refreshError="1"/>
      <sheetData sheetId="2" refreshError="1"/>
      <sheetData sheetId="3" refreshError="1"/>
      <sheetData sheetId="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iciones"/>
      <sheetName val="Previsiones"/>
      <sheetName val="Tipos de cambio"/>
      <sheetName val="Simulaciones"/>
      <sheetName val="Resumen"/>
      <sheetName val="RCE sim 3.0 Hip Nuevas"/>
      <sheetName val="afiliaciones"/>
      <sheetName val="CATALOGO PROMEX PARA ESPAÑA"/>
      <sheetName val="TARİH"/>
      <sheetName val="Parameters"/>
      <sheetName val="Research"/>
    </sheetNames>
    <sheetDataSet>
      <sheetData sheetId="0" refreshError="1">
        <row r="24">
          <cell r="L24">
            <v>2456.3912642597575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iciones"/>
      <sheetName val="Previsiones"/>
      <sheetName val="Tipos de cambio"/>
      <sheetName val="Simulaciones"/>
      <sheetName val="Resumen"/>
    </sheetNames>
    <sheetDataSet>
      <sheetData sheetId="0" refreshError="1">
        <row r="24">
          <cell r="L24">
            <v>2456.3912642597575</v>
          </cell>
        </row>
      </sheetData>
      <sheetData sheetId="1" refreshError="1"/>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tatics"/>
      <sheetName val="Input"/>
      <sheetName val="IS"/>
      <sheetName val="BS"/>
      <sheetName val="Ratio"/>
      <sheetName val="BalSht-Yields-Rates Input"/>
      <sheetName val="Act_Act Yields"/>
      <sheetName val="NII"/>
      <sheetName val="NIE"/>
      <sheetName val="Loan Fees"/>
      <sheetName val="Managed Loans"/>
      <sheetName val="INT"/>
      <sheetName val="fte"/>
      <sheetName val="FTP"/>
      <sheetName val="Upload MACs"/>
      <sheetName val="Print MACs"/>
      <sheetName val="Go To MACs"/>
      <sheetName val="Protect"/>
      <sheetName val="Module3"/>
      <sheetName val="Avg BS"/>
      <sheetName val="Inc Stmt"/>
      <sheetName val="Ratios"/>
      <sheetName val="ratelookup"/>
      <sheetName val="Yld Rates YTD"/>
      <sheetName val="Mac-RedWhite"/>
      <sheetName val="White Rank Mac"/>
      <sheetName val="Red Rank Mac"/>
      <sheetName val="Hide Macs"/>
      <sheetName val="Module1"/>
      <sheetName val="Module4"/>
      <sheetName val="Module5"/>
      <sheetName val="Module6"/>
      <sheetName val="Module2"/>
      <sheetName val="Module7"/>
      <sheetName val="Module9"/>
      <sheetName val="Module10"/>
      <sheetName val="Module8"/>
      <sheetName val="Module12"/>
      <sheetName val="Module13"/>
      <sheetName val="Module11"/>
      <sheetName val="Module14"/>
      <sheetName val="Module15"/>
      <sheetName val="Module17"/>
      <sheetName val="Module18"/>
      <sheetName val="Module16"/>
      <sheetName val="Module19"/>
      <sheetName val="Module20"/>
      <sheetName val="Module21"/>
      <sheetName val="TM1Input"/>
    </sheetNames>
    <sheetDataSet>
      <sheetData sheetId="0" refreshError="1"/>
      <sheetData sheetId="1" refreshError="1">
        <row r="14">
          <cell r="A14">
            <v>2004</v>
          </cell>
        </row>
        <row r="124">
          <cell r="A124" t="str">
            <v>Actual</v>
          </cell>
          <cell r="B124" t="str">
            <v>Actual</v>
          </cell>
          <cell r="C124" t="str">
            <v>act</v>
          </cell>
        </row>
        <row r="125">
          <cell r="A125" t="str">
            <v>Budget</v>
          </cell>
          <cell r="B125" t="str">
            <v>Budget</v>
          </cell>
          <cell r="C125" t="str">
            <v>bud</v>
          </cell>
        </row>
        <row r="126">
          <cell r="A126" t="str">
            <v>CurrFcst</v>
          </cell>
          <cell r="B126" t="str">
            <v>Current Forecast</v>
          </cell>
          <cell r="C126" t="str">
            <v>fcst</v>
          </cell>
        </row>
        <row r="127">
          <cell r="A127" t="str">
            <v>PrFcst</v>
          </cell>
          <cell r="B127" t="str">
            <v>Prior Forecast</v>
          </cell>
          <cell r="C127" t="str">
            <v>fcst</v>
          </cell>
        </row>
        <row r="128">
          <cell r="A128" t="str">
            <v>Momentum</v>
          </cell>
          <cell r="B128" t="str">
            <v>Momentum Forecast</v>
          </cell>
          <cell r="C128" t="str">
            <v>fcst</v>
          </cell>
        </row>
        <row r="129">
          <cell r="A129" t="str">
            <v>Target</v>
          </cell>
          <cell r="B129" t="str">
            <v>Tracks Forecast</v>
          </cell>
          <cell r="C129" t="str">
            <v>fcst</v>
          </cell>
        </row>
        <row r="130">
          <cell r="A130" t="str">
            <v>Pass 1</v>
          </cell>
          <cell r="B130" t="str">
            <v>Pass 1</v>
          </cell>
          <cell r="C130" t="str">
            <v>pass</v>
          </cell>
        </row>
        <row r="131">
          <cell r="A131" t="str">
            <v>Pass 2</v>
          </cell>
          <cell r="B131" t="str">
            <v>Pass 2</v>
          </cell>
          <cell r="C131" t="str">
            <v>pass</v>
          </cell>
        </row>
        <row r="132">
          <cell r="A132" t="str">
            <v>Base Case</v>
          </cell>
          <cell r="B132" t="str">
            <v>Base Case</v>
          </cell>
          <cell r="C132" t="str">
            <v>fcst</v>
          </cell>
        </row>
        <row r="133">
          <cell r="A133" t="str">
            <v>Scenario #1</v>
          </cell>
          <cell r="B133" t="str">
            <v>Scenario #1</v>
          </cell>
          <cell r="C133" t="str">
            <v>fcst</v>
          </cell>
        </row>
        <row r="134">
          <cell r="A134" t="str">
            <v>Strat</v>
          </cell>
          <cell r="B134" t="str">
            <v>Strat Forecast</v>
          </cell>
          <cell r="C134" t="str">
            <v>fcst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lowers"/>
      <sheetName val="Davis"/>
      <sheetName val="AUG_YTD"/>
      <sheetName val="Instore_Hist"/>
      <sheetName val="Rural_Hist"/>
      <sheetName val="Tucson"/>
      <sheetName val="Phoenix"/>
      <sheetName val="GraphData"/>
      <sheetName val="CORE_DEP"/>
      <sheetName val="CORE_%Growth"/>
      <sheetName val="Pre_tax"/>
      <sheetName val="Pre_tax%Growth"/>
      <sheetName val="Sheet1"/>
      <sheetName val="Branches"/>
      <sheetName val="Sheet2"/>
      <sheetName val="Sheet2 (2)"/>
      <sheetName val="ALL_WALMARTS"/>
      <sheetName val="WALMARTS_BY_Date"/>
      <sheetName val="WALMARTS_2001_only"/>
      <sheetName val="WALMARTS_2001_earlier"/>
      <sheetName val="LoanBalsBranches"/>
      <sheetName val="DepositBalanceTotalRetail"/>
      <sheetName val="DDA_Bal_Detail"/>
      <sheetName val="CheckConsumer"/>
      <sheetName val="CheckBusiness"/>
      <sheetName val="All Branches"/>
      <sheetName val="Traditionals"/>
      <sheetName val="Supercenters"/>
      <sheetName val="WNMs"/>
      <sheetName val="Krogers"/>
      <sheetName val="Other In-Stores"/>
      <sheetName val="Admin"/>
      <sheetName val="Sheet3"/>
      <sheetName val="Model"/>
      <sheetName val="DiscountRate"/>
      <sheetName val="Input"/>
      <sheetName val="MEXICO"/>
    </sheetNames>
    <sheetDataSet>
      <sheetData sheetId="0" refreshError="1">
        <row r="15">
          <cell r="F15" t="str">
            <v>January</v>
          </cell>
          <cell r="W15" t="str">
            <v>February</v>
          </cell>
        </row>
        <row r="16">
          <cell r="F16" t="str">
            <v>Gross Chking</v>
          </cell>
          <cell r="G16" t="str">
            <v>Closed Chking</v>
          </cell>
          <cell r="H16" t="str">
            <v>Net Checking</v>
          </cell>
          <cell r="I16" t="str">
            <v>Plat. FTE</v>
          </cell>
          <cell r="J16" t="str">
            <v>Gross / FTE</v>
          </cell>
          <cell r="K16" t="str">
            <v>Closed / FTE</v>
          </cell>
          <cell r="L16" t="str">
            <v>NET / FTE</v>
          </cell>
          <cell r="M16" t="str">
            <v>Gross Goal</v>
          </cell>
          <cell r="N16" t="str">
            <v>Net Goal</v>
          </cell>
          <cell r="O16" t="str">
            <v>% To Net Goal</v>
          </cell>
          <cell r="P16" t="str">
            <v>2003 Gross</v>
          </cell>
          <cell r="Q16" t="str">
            <v>2003 Closed</v>
          </cell>
          <cell r="R16" t="str">
            <v>2003 Net</v>
          </cell>
          <cell r="S16" t="str">
            <v>Plat. FTE 2003</v>
          </cell>
          <cell r="T16" t="str">
            <v>2003 Net / FTE</v>
          </cell>
          <cell r="W16" t="str">
            <v>Gross Chking</v>
          </cell>
          <cell r="X16" t="str">
            <v>Closed Chking</v>
          </cell>
          <cell r="Y16" t="str">
            <v>Net Checking</v>
          </cell>
          <cell r="Z16" t="str">
            <v>Plat. FTE</v>
          </cell>
          <cell r="AA16" t="str">
            <v>Gross / FTE</v>
          </cell>
          <cell r="AB16" t="str">
            <v>Closed / FTE</v>
          </cell>
          <cell r="AC16" t="str">
            <v>NET / FTE</v>
          </cell>
          <cell r="AD16" t="str">
            <v>Gross Goal</v>
          </cell>
          <cell r="AE16" t="str">
            <v>Net Goal</v>
          </cell>
          <cell r="AF16" t="str">
            <v>% To Net Goal</v>
          </cell>
          <cell r="AG16" t="str">
            <v>2003 Gross</v>
          </cell>
          <cell r="AH16" t="str">
            <v>2003 Closed</v>
          </cell>
          <cell r="AI16" t="str">
            <v>2003 Net</v>
          </cell>
          <cell r="AJ16" t="str">
            <v>Plat. FTE 2003</v>
          </cell>
          <cell r="AK16" t="str">
            <v>2003 Net / FTE</v>
          </cell>
        </row>
        <row r="17">
          <cell r="F17" t="str">
            <v>'00 Goal</v>
          </cell>
          <cell r="G17" t="str">
            <v>'00 Goal</v>
          </cell>
          <cell r="H17" t="str">
            <v>'00 Goal</v>
          </cell>
          <cell r="I17" t="str">
            <v>'00 Goal</v>
          </cell>
          <cell r="J17" t="str">
            <v>'00 Goal</v>
          </cell>
          <cell r="K17" t="str">
            <v>'00 Goal</v>
          </cell>
          <cell r="L17" t="str">
            <v>'00 Goal</v>
          </cell>
          <cell r="P17" t="str">
            <v>'00 Goal</v>
          </cell>
          <cell r="Q17" t="str">
            <v>'00 Goal</v>
          </cell>
          <cell r="R17" t="str">
            <v>'00 Goal</v>
          </cell>
          <cell r="S17" t="str">
            <v>'00 Goal</v>
          </cell>
          <cell r="T17" t="str">
            <v>'00 Goal</v>
          </cell>
          <cell r="W17" t="str">
            <v>'00 Goal</v>
          </cell>
          <cell r="X17" t="str">
            <v>'00 Goal</v>
          </cell>
          <cell r="Y17" t="str">
            <v>'00 Goal</v>
          </cell>
          <cell r="Z17" t="str">
            <v>'00 Goal</v>
          </cell>
          <cell r="AA17" t="str">
            <v>'00 Goal</v>
          </cell>
          <cell r="AB17" t="str">
            <v>'00 Goal</v>
          </cell>
          <cell r="AC17" t="str">
            <v>'00 Goal</v>
          </cell>
          <cell r="AG17" t="str">
            <v>'00 Goal</v>
          </cell>
          <cell r="AH17" t="str">
            <v>'00 Goal</v>
          </cell>
          <cell r="AI17" t="str">
            <v>'00 Goal</v>
          </cell>
          <cell r="AJ17" t="str">
            <v>'00 Goal</v>
          </cell>
          <cell r="AK17" t="str">
            <v>'00 Goal</v>
          </cell>
        </row>
        <row r="19">
          <cell r="F19">
            <v>6545</v>
          </cell>
          <cell r="G19">
            <v>3350</v>
          </cell>
          <cell r="H19" t="e">
            <v>#VALUE!</v>
          </cell>
          <cell r="I19">
            <v>218.22319999999999</v>
          </cell>
          <cell r="J19">
            <v>29.99222814072931</v>
          </cell>
          <cell r="K19">
            <v>15.351255045293076</v>
          </cell>
          <cell r="L19">
            <v>0</v>
          </cell>
          <cell r="M19">
            <v>5682.4000000000005</v>
          </cell>
          <cell r="N19">
            <v>2502.5</v>
          </cell>
          <cell r="O19" t="e">
            <v>#VALUE!</v>
          </cell>
          <cell r="P19">
            <v>4709</v>
          </cell>
          <cell r="Q19">
            <v>3433</v>
          </cell>
          <cell r="R19" t="e">
            <v>#VALUE!</v>
          </cell>
          <cell r="S19">
            <v>211.4786</v>
          </cell>
          <cell r="T19" t="e">
            <v>#VALUE!</v>
          </cell>
          <cell r="W19">
            <v>8209</v>
          </cell>
          <cell r="X19">
            <v>3540</v>
          </cell>
          <cell r="Y19" t="e">
            <v>#VALUE!</v>
          </cell>
          <cell r="Z19">
            <v>223.12139999999999</v>
          </cell>
          <cell r="AA19">
            <v>36.791630027420048</v>
          </cell>
          <cell r="AB19">
            <v>15.86580220453977</v>
          </cell>
          <cell r="AC19">
            <v>0</v>
          </cell>
          <cell r="AD19">
            <v>6480.9000000000015</v>
          </cell>
          <cell r="AE19">
            <v>3243.2000000000003</v>
          </cell>
          <cell r="AF19" t="e">
            <v>#VALUE!</v>
          </cell>
          <cell r="AG19">
            <v>6050</v>
          </cell>
          <cell r="AH19">
            <v>2825</v>
          </cell>
          <cell r="AI19" t="e">
            <v>#VALUE!</v>
          </cell>
          <cell r="AJ19">
            <v>216.5164</v>
          </cell>
          <cell r="AK19" t="e">
            <v>#VALUE!</v>
          </cell>
        </row>
        <row r="20">
          <cell r="F20">
            <v>4939</v>
          </cell>
          <cell r="G20">
            <v>3168</v>
          </cell>
          <cell r="H20">
            <v>1771</v>
          </cell>
          <cell r="I20">
            <v>172.29689999999999</v>
          </cell>
          <cell r="J20">
            <v>28.665634727032234</v>
          </cell>
          <cell r="K20">
            <v>18.386865927361434</v>
          </cell>
          <cell r="L20">
            <v>10.278768799670802</v>
          </cell>
          <cell r="M20">
            <v>5019.2999999999993</v>
          </cell>
          <cell r="N20">
            <v>2082</v>
          </cell>
          <cell r="O20">
            <v>0.85062439961575409</v>
          </cell>
          <cell r="P20">
            <v>4807</v>
          </cell>
          <cell r="Q20">
            <v>3136</v>
          </cell>
          <cell r="R20">
            <v>1671</v>
          </cell>
          <cell r="S20">
            <v>171.38460000000001</v>
          </cell>
          <cell r="T20">
            <v>9.7500008752244955</v>
          </cell>
          <cell r="W20">
            <v>6649</v>
          </cell>
          <cell r="X20">
            <v>3098</v>
          </cell>
          <cell r="Y20">
            <v>3551</v>
          </cell>
          <cell r="Z20">
            <v>173.18270000000001</v>
          </cell>
          <cell r="AA20">
            <v>38.392980361202355</v>
          </cell>
          <cell r="AB20">
            <v>17.888622824335226</v>
          </cell>
          <cell r="AC20">
            <v>20.504357536867133</v>
          </cell>
          <cell r="AD20">
            <v>5808.9</v>
          </cell>
          <cell r="AE20">
            <v>2817.8999999999996</v>
          </cell>
          <cell r="AF20">
            <v>1.2601582738919055</v>
          </cell>
          <cell r="AG20">
            <v>6162</v>
          </cell>
          <cell r="AH20">
            <v>2925</v>
          </cell>
          <cell r="AI20">
            <v>3237</v>
          </cell>
          <cell r="AJ20">
            <v>180.05899999999997</v>
          </cell>
          <cell r="AK20">
            <v>17.977440727761458</v>
          </cell>
        </row>
        <row r="21">
          <cell r="F21">
            <v>6089</v>
          </cell>
          <cell r="G21">
            <v>4043</v>
          </cell>
          <cell r="H21">
            <v>2046</v>
          </cell>
          <cell r="I21">
            <v>253.71039999999999</v>
          </cell>
          <cell r="J21">
            <v>23.999804501510383</v>
          </cell>
          <cell r="K21">
            <v>15.935491804829443</v>
          </cell>
          <cell r="L21">
            <v>8.0643126966809398</v>
          </cell>
          <cell r="M21">
            <v>6789.5999999999995</v>
          </cell>
          <cell r="N21">
            <v>3134.3</v>
          </cell>
          <cell r="O21">
            <v>0.65277733465207544</v>
          </cell>
          <cell r="P21">
            <v>5452</v>
          </cell>
          <cell r="Q21">
            <v>3646</v>
          </cell>
          <cell r="R21">
            <v>1806</v>
          </cell>
          <cell r="S21">
            <v>239.81620000000001</v>
          </cell>
          <cell r="T21">
            <v>7.5307673126335919</v>
          </cell>
          <cell r="W21">
            <v>8187</v>
          </cell>
          <cell r="X21">
            <v>3974</v>
          </cell>
          <cell r="Y21">
            <v>4213</v>
          </cell>
          <cell r="Z21">
            <v>255.64700000000002</v>
          </cell>
          <cell r="AA21">
            <v>32.02462770930228</v>
          </cell>
          <cell r="AB21">
            <v>15.544872421737786</v>
          </cell>
          <cell r="AC21">
            <v>16.47975528756449</v>
          </cell>
          <cell r="AD21">
            <v>7950.7</v>
          </cell>
          <cell r="AE21">
            <v>4228</v>
          </cell>
          <cell r="AF21">
            <v>0.99645222327341532</v>
          </cell>
          <cell r="AG21">
            <v>6910</v>
          </cell>
          <cell r="AH21">
            <v>3072</v>
          </cell>
          <cell r="AI21">
            <v>3838</v>
          </cell>
          <cell r="AJ21">
            <v>243.9083</v>
          </cell>
          <cell r="AK21">
            <v>15.735421877812277</v>
          </cell>
        </row>
        <row r="22">
          <cell r="F22">
            <v>4619</v>
          </cell>
          <cell r="G22">
            <v>2994</v>
          </cell>
          <cell r="H22">
            <v>1625</v>
          </cell>
          <cell r="I22">
            <v>185.24260000000004</v>
          </cell>
          <cell r="J22">
            <v>24.93486919315535</v>
          </cell>
          <cell r="K22">
            <v>16.162588950921652</v>
          </cell>
          <cell r="L22">
            <v>8.7722802422336965</v>
          </cell>
          <cell r="M22">
            <v>5515.5999999999995</v>
          </cell>
          <cell r="N22">
            <v>2724.2999999999997</v>
          </cell>
          <cell r="O22">
            <v>0.59648350034871345</v>
          </cell>
          <cell r="P22">
            <v>3923</v>
          </cell>
          <cell r="Q22">
            <v>2719</v>
          </cell>
          <cell r="R22">
            <v>1204</v>
          </cell>
          <cell r="S22">
            <v>151.04039999999998</v>
          </cell>
          <cell r="T22">
            <v>7.9713771944459904</v>
          </cell>
          <cell r="W22">
            <v>6982</v>
          </cell>
          <cell r="X22">
            <v>3063</v>
          </cell>
          <cell r="Y22">
            <v>3919</v>
          </cell>
          <cell r="Z22">
            <v>185.01860000000005</v>
          </cell>
          <cell r="AA22">
            <v>37.736746467652431</v>
          </cell>
          <cell r="AB22">
            <v>16.555092298828331</v>
          </cell>
          <cell r="AC22">
            <v>21.181654168824103</v>
          </cell>
          <cell r="AD22">
            <v>6477.7999999999993</v>
          </cell>
          <cell r="AE22">
            <v>3635.3</v>
          </cell>
          <cell r="AF22">
            <v>1.0780403267955876</v>
          </cell>
          <cell r="AG22">
            <v>4582</v>
          </cell>
          <cell r="AH22">
            <v>2312</v>
          </cell>
          <cell r="AI22">
            <v>2270</v>
          </cell>
          <cell r="AJ22">
            <v>156.10580000000002</v>
          </cell>
          <cell r="AK22">
            <v>14.541419985676379</v>
          </cell>
        </row>
        <row r="23">
          <cell r="F23">
            <v>7041</v>
          </cell>
          <cell r="G23">
            <v>3874</v>
          </cell>
          <cell r="H23" t="e">
            <v>#VALUE!</v>
          </cell>
          <cell r="I23">
            <v>257.05169999999998</v>
          </cell>
          <cell r="J23">
            <v>27.391376909781187</v>
          </cell>
          <cell r="K23">
            <v>15.070898188963545</v>
          </cell>
          <cell r="L23">
            <v>0</v>
          </cell>
          <cell r="M23">
            <v>7846.6999999999989</v>
          </cell>
          <cell r="N23">
            <v>3948.3</v>
          </cell>
          <cell r="O23" t="e">
            <v>#VALUE!</v>
          </cell>
          <cell r="P23">
            <v>6457</v>
          </cell>
          <cell r="Q23">
            <v>3885</v>
          </cell>
          <cell r="R23" t="e">
            <v>#VALUE!</v>
          </cell>
          <cell r="S23">
            <v>227.02420000000001</v>
          </cell>
          <cell r="T23" t="e">
            <v>#VALUE!</v>
          </cell>
          <cell r="W23">
            <v>9138</v>
          </cell>
          <cell r="X23">
            <v>4038</v>
          </cell>
          <cell r="Y23" t="e">
            <v>#VALUE!</v>
          </cell>
          <cell r="Z23">
            <v>256.84399999999999</v>
          </cell>
          <cell r="AA23">
            <v>35.578016227749139</v>
          </cell>
          <cell r="AB23">
            <v>15.72160533241968</v>
          </cell>
          <cell r="AC23">
            <v>0</v>
          </cell>
          <cell r="AD23">
            <v>9215.4</v>
          </cell>
          <cell r="AE23">
            <v>5244.9000000000005</v>
          </cell>
          <cell r="AF23" t="e">
            <v>#VALUE!</v>
          </cell>
          <cell r="AG23">
            <v>8334</v>
          </cell>
          <cell r="AH23">
            <v>2880</v>
          </cell>
          <cell r="AI23" t="e">
            <v>#VALUE!</v>
          </cell>
          <cell r="AJ23">
            <v>238.613</v>
          </cell>
          <cell r="AK23" t="e">
            <v>#VALUE!</v>
          </cell>
        </row>
        <row r="24">
          <cell r="F24">
            <v>29233</v>
          </cell>
          <cell r="G24">
            <v>17429</v>
          </cell>
          <cell r="H24" t="e">
            <v>#VALUE!</v>
          </cell>
          <cell r="I24">
            <v>1086.5247999999999</v>
          </cell>
          <cell r="J24">
            <v>26.905046253891307</v>
          </cell>
          <cell r="K24">
            <v>16.041051248899244</v>
          </cell>
          <cell r="L24">
            <v>0</v>
          </cell>
          <cell r="M24">
            <v>30853.599999999999</v>
          </cell>
          <cell r="N24">
            <v>14391.400000000001</v>
          </cell>
          <cell r="O24" t="e">
            <v>#VALUE!</v>
          </cell>
          <cell r="P24">
            <v>25348</v>
          </cell>
          <cell r="Q24">
            <v>16819</v>
          </cell>
          <cell r="R24" t="e">
            <v>#VALUE!</v>
          </cell>
          <cell r="S24">
            <v>1000.7439999999999</v>
          </cell>
          <cell r="T24" t="e">
            <v>#VALUE!</v>
          </cell>
          <cell r="W24">
            <v>39165</v>
          </cell>
          <cell r="X24">
            <v>17713</v>
          </cell>
          <cell r="Y24" t="e">
            <v>#VALUE!</v>
          </cell>
          <cell r="Z24">
            <v>1093.8137000000002</v>
          </cell>
          <cell r="AA24">
            <v>35.80591466352999</v>
          </cell>
          <cell r="AB24">
            <v>16.193799730246564</v>
          </cell>
          <cell r="AC24">
            <v>0</v>
          </cell>
          <cell r="AD24">
            <v>35933.699999999997</v>
          </cell>
          <cell r="AE24">
            <v>19169.300000000003</v>
          </cell>
          <cell r="AF24" t="e">
            <v>#VALUE!</v>
          </cell>
          <cell r="AG24">
            <v>32038</v>
          </cell>
          <cell r="AH24">
            <v>14014</v>
          </cell>
          <cell r="AI24" t="e">
            <v>#VALUE!</v>
          </cell>
          <cell r="AJ24">
            <v>1035.2025000000001</v>
          </cell>
          <cell r="AK24" t="e">
            <v>#VALUE!</v>
          </cell>
        </row>
        <row r="26">
          <cell r="F26" t="str">
            <v>January</v>
          </cell>
          <cell r="W26" t="str">
            <v>February</v>
          </cell>
        </row>
        <row r="27">
          <cell r="F27" t="str">
            <v>Gross Chking</v>
          </cell>
          <cell r="G27" t="str">
            <v>Closed Chking</v>
          </cell>
          <cell r="H27" t="str">
            <v>Net Checking</v>
          </cell>
          <cell r="I27" t="str">
            <v>Plat. FTE</v>
          </cell>
          <cell r="J27" t="str">
            <v>Gross / FTE</v>
          </cell>
          <cell r="K27" t="str">
            <v>Closed / FTE</v>
          </cell>
          <cell r="L27" t="str">
            <v>NET / FTE</v>
          </cell>
          <cell r="M27" t="str">
            <v>Gross Goal</v>
          </cell>
          <cell r="N27" t="str">
            <v>Net Goal</v>
          </cell>
          <cell r="O27" t="str">
            <v>% To Net Goal</v>
          </cell>
          <cell r="P27" t="str">
            <v>2003 Gross</v>
          </cell>
          <cell r="Q27" t="str">
            <v>2003 Closed</v>
          </cell>
          <cell r="R27" t="str">
            <v>2003 Net</v>
          </cell>
          <cell r="S27" t="str">
            <v>Plat. FTE 2003</v>
          </cell>
          <cell r="T27" t="str">
            <v>2003 Net / FTE</v>
          </cell>
          <cell r="W27" t="str">
            <v>Gross Chking</v>
          </cell>
          <cell r="X27" t="str">
            <v>Closed Chking</v>
          </cell>
          <cell r="Y27" t="str">
            <v>Net Checking</v>
          </cell>
          <cell r="Z27" t="str">
            <v>Plat. FTE</v>
          </cell>
          <cell r="AA27" t="str">
            <v>Gross / FTE</v>
          </cell>
          <cell r="AB27" t="str">
            <v>Closed / FTE</v>
          </cell>
          <cell r="AC27" t="str">
            <v>NET / FTE</v>
          </cell>
          <cell r="AD27" t="str">
            <v>Gross Goal</v>
          </cell>
          <cell r="AE27" t="str">
            <v>Net Goal</v>
          </cell>
          <cell r="AF27" t="str">
            <v>% To Net Goal</v>
          </cell>
          <cell r="AG27" t="str">
            <v>2003 Gross</v>
          </cell>
          <cell r="AH27" t="str">
            <v>2003 Closed</v>
          </cell>
          <cell r="AI27" t="str">
            <v>2003 Net</v>
          </cell>
          <cell r="AJ27" t="str">
            <v>Plat. FTE 2003</v>
          </cell>
          <cell r="AK27" t="str">
            <v>2003 Net / FTE</v>
          </cell>
        </row>
        <row r="28">
          <cell r="F28" t="str">
            <v>'00 Goal</v>
          </cell>
          <cell r="G28" t="str">
            <v>'00 Goal</v>
          </cell>
          <cell r="H28" t="str">
            <v>'00 Goal</v>
          </cell>
          <cell r="I28" t="str">
            <v>'00 Goal</v>
          </cell>
          <cell r="J28" t="str">
            <v>'00 Goal</v>
          </cell>
          <cell r="K28" t="str">
            <v>'00 Goal</v>
          </cell>
          <cell r="L28" t="str">
            <v>'00 Goal</v>
          </cell>
          <cell r="M28" t="str">
            <v>'00 Goal</v>
          </cell>
          <cell r="N28" t="str">
            <v>'00 Goal</v>
          </cell>
          <cell r="O28" t="str">
            <v>'00 Goal</v>
          </cell>
          <cell r="P28" t="str">
            <v>'00 Goal</v>
          </cell>
          <cell r="Q28" t="str">
            <v>'00 Goal</v>
          </cell>
          <cell r="R28" t="str">
            <v>'00 Goal</v>
          </cell>
          <cell r="S28" t="str">
            <v>'00 Goal</v>
          </cell>
          <cell r="T28" t="str">
            <v>'00 Goal</v>
          </cell>
          <cell r="W28" t="str">
            <v>'00 Goal</v>
          </cell>
          <cell r="X28" t="str">
            <v>'00 Goal</v>
          </cell>
          <cell r="Y28" t="str">
            <v>'00 Goal</v>
          </cell>
          <cell r="Z28" t="str">
            <v>'00 Goal</v>
          </cell>
          <cell r="AA28" t="str">
            <v>'00 Goal</v>
          </cell>
          <cell r="AB28" t="str">
            <v>'00 Goal</v>
          </cell>
          <cell r="AC28" t="str">
            <v>'00 Goal</v>
          </cell>
          <cell r="AD28" t="str">
            <v>'00 Goal</v>
          </cell>
          <cell r="AE28" t="str">
            <v>'00 Goal</v>
          </cell>
          <cell r="AF28" t="str">
            <v>'00 Goal</v>
          </cell>
          <cell r="AG28" t="str">
            <v>'00 Goal</v>
          </cell>
          <cell r="AH28" t="str">
            <v>'00 Goal</v>
          </cell>
          <cell r="AI28" t="str">
            <v>'00 Goal</v>
          </cell>
          <cell r="AJ28" t="str">
            <v>'00 Goal</v>
          </cell>
          <cell r="AK28" t="str">
            <v>'00 Goal</v>
          </cell>
        </row>
        <row r="30">
          <cell r="F30">
            <v>2185</v>
          </cell>
          <cell r="G30">
            <v>1164</v>
          </cell>
          <cell r="H30">
            <v>1021</v>
          </cell>
          <cell r="I30">
            <v>72.9161</v>
          </cell>
          <cell r="J30">
            <v>29.965947163932245</v>
          </cell>
          <cell r="K30">
            <v>15.96355263103759</v>
          </cell>
          <cell r="L30">
            <v>14.002394532894655</v>
          </cell>
          <cell r="M30">
            <v>2073.5</v>
          </cell>
          <cell r="N30">
            <v>959.80000000000007</v>
          </cell>
          <cell r="O30">
            <v>1.0637632840175035</v>
          </cell>
          <cell r="P30">
            <v>1668</v>
          </cell>
          <cell r="Q30">
            <v>1175</v>
          </cell>
          <cell r="R30">
            <v>493</v>
          </cell>
          <cell r="S30">
            <v>67.511300000000006</v>
          </cell>
          <cell r="T30">
            <v>7.302481214255983</v>
          </cell>
          <cell r="W30">
            <v>2844</v>
          </cell>
          <cell r="X30">
            <v>1232</v>
          </cell>
          <cell r="Y30">
            <v>1612</v>
          </cell>
          <cell r="Z30">
            <v>75.4191</v>
          </cell>
          <cell r="AA30">
            <v>37.709280540340579</v>
          </cell>
          <cell r="AB30">
            <v>16.335384537869054</v>
          </cell>
          <cell r="AC30">
            <v>21.373896002471522</v>
          </cell>
          <cell r="AD30">
            <v>2412.400000000001</v>
          </cell>
          <cell r="AE30">
            <v>1278.9000000000001</v>
          </cell>
          <cell r="AF30">
            <v>1.2604582062710141</v>
          </cell>
          <cell r="AG30">
            <v>2219</v>
          </cell>
          <cell r="AH30">
            <v>948</v>
          </cell>
          <cell r="AI30">
            <v>1271</v>
          </cell>
          <cell r="AJ30">
            <v>72.08580000000002</v>
          </cell>
          <cell r="AK30">
            <v>17.631766589258905</v>
          </cell>
        </row>
        <row r="31">
          <cell r="F31">
            <v>1506</v>
          </cell>
          <cell r="G31">
            <v>685</v>
          </cell>
          <cell r="H31" t="e">
            <v>#VALUE!</v>
          </cell>
          <cell r="I31">
            <v>56.023099999999992</v>
          </cell>
          <cell r="J31">
            <v>26.881768413386624</v>
          </cell>
          <cell r="K31">
            <v>12.227099178731631</v>
          </cell>
          <cell r="L31">
            <v>0</v>
          </cell>
          <cell r="M31">
            <v>1203.8</v>
          </cell>
          <cell r="N31">
            <v>524.30000000000007</v>
          </cell>
          <cell r="O31" t="e">
            <v>#VALUE!</v>
          </cell>
          <cell r="P31">
            <v>951</v>
          </cell>
          <cell r="Q31">
            <v>769</v>
          </cell>
          <cell r="R31" t="e">
            <v>#VALUE!</v>
          </cell>
          <cell r="S31">
            <v>53.884999999999998</v>
          </cell>
          <cell r="T31" t="e">
            <v>#VALUE!</v>
          </cell>
          <cell r="W31">
            <v>1975</v>
          </cell>
          <cell r="X31">
            <v>740</v>
          </cell>
          <cell r="Y31" t="e">
            <v>#VALUE!</v>
          </cell>
          <cell r="Z31">
            <v>56.167400000000001</v>
          </cell>
          <cell r="AA31">
            <v>35.162745649611693</v>
          </cell>
          <cell r="AB31">
            <v>13.174902167449446</v>
          </cell>
          <cell r="AC31">
            <v>0</v>
          </cell>
          <cell r="AD31">
            <v>1401.1999999999998</v>
          </cell>
          <cell r="AE31">
            <v>709.2</v>
          </cell>
          <cell r="AF31" t="e">
            <v>#VALUE!</v>
          </cell>
          <cell r="AG31">
            <v>1322</v>
          </cell>
          <cell r="AH31">
            <v>597</v>
          </cell>
          <cell r="AI31" t="e">
            <v>#VALUE!</v>
          </cell>
          <cell r="AJ31">
            <v>55.644099999999995</v>
          </cell>
          <cell r="AK31" t="e">
            <v>#VALUE!</v>
          </cell>
        </row>
        <row r="32">
          <cell r="F32">
            <v>1332</v>
          </cell>
          <cell r="G32">
            <v>761</v>
          </cell>
          <cell r="H32">
            <v>571</v>
          </cell>
          <cell r="I32">
            <v>46.331799999999994</v>
          </cell>
          <cell r="J32">
            <v>28.749152849662654</v>
          </cell>
          <cell r="K32">
            <v>16.425003992937899</v>
          </cell>
          <cell r="L32">
            <v>12.324148856724756</v>
          </cell>
          <cell r="M32">
            <v>1277.4000000000001</v>
          </cell>
          <cell r="N32">
            <v>562.40000000000009</v>
          </cell>
          <cell r="O32">
            <v>1.0152916073968703</v>
          </cell>
          <cell r="P32">
            <v>1097</v>
          </cell>
          <cell r="Q32">
            <v>775</v>
          </cell>
          <cell r="R32">
            <v>322</v>
          </cell>
          <cell r="S32">
            <v>47.0976</v>
          </cell>
          <cell r="T32">
            <v>6.8368664220682156</v>
          </cell>
          <cell r="W32">
            <v>1690</v>
          </cell>
          <cell r="X32">
            <v>836</v>
          </cell>
          <cell r="Y32">
            <v>854</v>
          </cell>
          <cell r="Z32">
            <v>48.3217</v>
          </cell>
          <cell r="AA32">
            <v>34.973935105759935</v>
          </cell>
          <cell r="AB32">
            <v>17.300715827464678</v>
          </cell>
          <cell r="AC32">
            <v>17.67321927829526</v>
          </cell>
          <cell r="AD32">
            <v>1440.2</v>
          </cell>
          <cell r="AE32">
            <v>712.1</v>
          </cell>
          <cell r="AF32">
            <v>1.1992697654823761</v>
          </cell>
          <cell r="AG32">
            <v>1353</v>
          </cell>
          <cell r="AH32">
            <v>661</v>
          </cell>
          <cell r="AI32">
            <v>692</v>
          </cell>
          <cell r="AJ32">
            <v>47.177799999999998</v>
          </cell>
          <cell r="AK32">
            <v>14.667915841773038</v>
          </cell>
        </row>
        <row r="33">
          <cell r="F33">
            <v>1522</v>
          </cell>
          <cell r="G33">
            <v>740</v>
          </cell>
          <cell r="H33">
            <v>782</v>
          </cell>
          <cell r="I33">
            <v>42.952199999999998</v>
          </cell>
          <cell r="J33">
            <v>35.434739082049347</v>
          </cell>
          <cell r="K33">
            <v>17.22845395579272</v>
          </cell>
          <cell r="L33">
            <v>18.206285126256631</v>
          </cell>
          <cell r="M33">
            <v>1127.7</v>
          </cell>
          <cell r="N33">
            <v>456</v>
          </cell>
          <cell r="O33">
            <v>1.7149122807017543</v>
          </cell>
          <cell r="P33">
            <v>993</v>
          </cell>
          <cell r="Q33">
            <v>714</v>
          </cell>
          <cell r="R33">
            <v>279</v>
          </cell>
          <cell r="S33">
            <v>42.984699999999997</v>
          </cell>
          <cell r="T33">
            <v>6.4906815680928336</v>
          </cell>
          <cell r="W33">
            <v>1700</v>
          </cell>
          <cell r="X33">
            <v>732</v>
          </cell>
          <cell r="Y33">
            <v>968</v>
          </cell>
          <cell r="Z33">
            <v>43.213199999999993</v>
          </cell>
          <cell r="AA33">
            <v>39.339831347828913</v>
          </cell>
          <cell r="AB33">
            <v>16.939268556829859</v>
          </cell>
          <cell r="AC33">
            <v>22.40056279099905</v>
          </cell>
          <cell r="AD33">
            <v>1227.0999999999999</v>
          </cell>
          <cell r="AE33">
            <v>543</v>
          </cell>
          <cell r="AF33">
            <v>1.7826887661141806</v>
          </cell>
          <cell r="AG33">
            <v>1156</v>
          </cell>
          <cell r="AH33">
            <v>619</v>
          </cell>
          <cell r="AI33">
            <v>537</v>
          </cell>
          <cell r="AJ33">
            <v>41.608699999999999</v>
          </cell>
          <cell r="AK33">
            <v>12.905954764268049</v>
          </cell>
        </row>
        <row r="34">
          <cell r="F34">
            <v>1135</v>
          </cell>
          <cell r="G34">
            <v>721</v>
          </cell>
          <cell r="H34">
            <v>414</v>
          </cell>
          <cell r="I34">
            <v>29.430900000000001</v>
          </cell>
          <cell r="J34">
            <v>38.564909669768845</v>
          </cell>
          <cell r="K34">
            <v>24.498061561148315</v>
          </cell>
          <cell r="L34">
            <v>14.066848108620531</v>
          </cell>
          <cell r="M34">
            <v>1104.0999999999999</v>
          </cell>
          <cell r="N34">
            <v>452.5</v>
          </cell>
          <cell r="O34">
            <v>0.91491712707182316</v>
          </cell>
          <cell r="P34">
            <v>1218</v>
          </cell>
          <cell r="Q34">
            <v>721</v>
          </cell>
          <cell r="R34">
            <v>497</v>
          </cell>
          <cell r="S34">
            <v>29.984599999999997</v>
          </cell>
          <cell r="T34">
            <v>16.575175256631738</v>
          </cell>
          <cell r="W34">
            <v>1376</v>
          </cell>
          <cell r="X34">
            <v>696</v>
          </cell>
          <cell r="Y34">
            <v>680</v>
          </cell>
          <cell r="Z34">
            <v>29.5624</v>
          </cell>
          <cell r="AA34">
            <v>46.545611993613505</v>
          </cell>
          <cell r="AB34">
            <v>23.543420020025437</v>
          </cell>
          <cell r="AC34">
            <v>23.002191973588072</v>
          </cell>
          <cell r="AD34">
            <v>1211.5</v>
          </cell>
          <cell r="AE34">
            <v>547.9</v>
          </cell>
          <cell r="AF34">
            <v>1.2411023909472532</v>
          </cell>
          <cell r="AG34">
            <v>1267</v>
          </cell>
          <cell r="AH34">
            <v>670</v>
          </cell>
          <cell r="AI34">
            <v>597</v>
          </cell>
          <cell r="AJ34">
            <v>30.370800000000003</v>
          </cell>
          <cell r="AK34">
            <v>19.657038997984905</v>
          </cell>
        </row>
        <row r="35">
          <cell r="F35">
            <v>1016</v>
          </cell>
          <cell r="G35">
            <v>604</v>
          </cell>
          <cell r="H35">
            <v>412</v>
          </cell>
          <cell r="I35">
            <v>37.9467</v>
          </cell>
          <cell r="J35">
            <v>26.774396719609346</v>
          </cell>
          <cell r="K35">
            <v>15.917062616775635</v>
          </cell>
          <cell r="L35">
            <v>10.857334102833711</v>
          </cell>
          <cell r="M35">
            <v>1005.0999999999998</v>
          </cell>
          <cell r="N35">
            <v>458.80000000000007</v>
          </cell>
          <cell r="O35">
            <v>0.89799476896251074</v>
          </cell>
          <cell r="P35">
            <v>812</v>
          </cell>
          <cell r="Q35">
            <v>601</v>
          </cell>
          <cell r="R35">
            <v>211</v>
          </cell>
          <cell r="S35">
            <v>35.5122</v>
          </cell>
          <cell r="T35">
            <v>5.9416200629642768</v>
          </cell>
          <cell r="W35">
            <v>1433</v>
          </cell>
          <cell r="X35">
            <v>555</v>
          </cell>
          <cell r="Y35">
            <v>878</v>
          </cell>
          <cell r="Z35">
            <v>37.260000000000005</v>
          </cell>
          <cell r="AA35">
            <v>38.459473966720338</v>
          </cell>
          <cell r="AB35">
            <v>14.895330112721416</v>
          </cell>
          <cell r="AC35">
            <v>23.564143853998925</v>
          </cell>
          <cell r="AD35">
            <v>1180.2999999999997</v>
          </cell>
          <cell r="AE35">
            <v>624.20000000000005</v>
          </cell>
          <cell r="AF35">
            <v>1.4066004485741748</v>
          </cell>
          <cell r="AG35">
            <v>1093</v>
          </cell>
          <cell r="AH35">
            <v>531</v>
          </cell>
          <cell r="AI35">
            <v>562</v>
          </cell>
          <cell r="AJ35">
            <v>38.078999999999994</v>
          </cell>
          <cell r="AK35">
            <v>14.758790934635892</v>
          </cell>
        </row>
        <row r="36">
          <cell r="F36">
            <v>1384</v>
          </cell>
          <cell r="G36">
            <v>1096</v>
          </cell>
          <cell r="H36">
            <v>288</v>
          </cell>
          <cell r="I36">
            <v>61.633100000000006</v>
          </cell>
          <cell r="J36">
            <v>22.455466299764247</v>
          </cell>
          <cell r="K36">
            <v>17.782652503281515</v>
          </cell>
          <cell r="L36">
            <v>4.6728137964827337</v>
          </cell>
          <cell r="M36">
            <v>1704.4</v>
          </cell>
          <cell r="N36">
            <v>657.50000000000011</v>
          </cell>
          <cell r="O36">
            <v>0.43802281368821283</v>
          </cell>
          <cell r="P36">
            <v>1723</v>
          </cell>
          <cell r="Q36">
            <v>1018</v>
          </cell>
          <cell r="R36">
            <v>705</v>
          </cell>
          <cell r="S36">
            <v>62.647300000000008</v>
          </cell>
          <cell r="T36">
            <v>11.253477803512681</v>
          </cell>
          <cell r="W36">
            <v>1816</v>
          </cell>
          <cell r="X36">
            <v>1091</v>
          </cell>
          <cell r="Y36">
            <v>725</v>
          </cell>
          <cell r="Z36">
            <v>63.277000000000008</v>
          </cell>
          <cell r="AA36">
            <v>28.699211403827611</v>
          </cell>
          <cell r="AB36">
            <v>17.24165178500877</v>
          </cell>
          <cell r="AC36">
            <v>11.457559618818843</v>
          </cell>
          <cell r="AD36">
            <v>2001.3999999999999</v>
          </cell>
          <cell r="AE36">
            <v>935.19999999999993</v>
          </cell>
          <cell r="AF36">
            <v>0.77523524379811815</v>
          </cell>
          <cell r="AG36">
            <v>2222</v>
          </cell>
          <cell r="AH36">
            <v>1047</v>
          </cell>
          <cell r="AI36">
            <v>1175</v>
          </cell>
          <cell r="AJ36">
            <v>65.630499999999984</v>
          </cell>
          <cell r="AK36">
            <v>17.903261440945908</v>
          </cell>
        </row>
        <row r="37">
          <cell r="F37">
            <v>1404</v>
          </cell>
          <cell r="G37">
            <v>747</v>
          </cell>
          <cell r="H37">
            <v>657</v>
          </cell>
          <cell r="I37">
            <v>43.286199999999994</v>
          </cell>
          <cell r="J37">
            <v>32.435279604123259</v>
          </cell>
          <cell r="K37">
            <v>17.257232097065579</v>
          </cell>
          <cell r="L37">
            <v>15.178047507057679</v>
          </cell>
          <cell r="M37">
            <v>1205.6999999999998</v>
          </cell>
          <cell r="N37">
            <v>513.20000000000005</v>
          </cell>
          <cell r="O37">
            <v>1.2802026500389712</v>
          </cell>
          <cell r="P37">
            <v>1054</v>
          </cell>
          <cell r="Q37">
            <v>796</v>
          </cell>
          <cell r="R37">
            <v>258</v>
          </cell>
          <cell r="S37">
            <v>43.240499999999997</v>
          </cell>
          <cell r="T37">
            <v>5.966628507995976</v>
          </cell>
          <cell r="W37">
            <v>2024</v>
          </cell>
          <cell r="X37">
            <v>756</v>
          </cell>
          <cell r="Y37">
            <v>1268</v>
          </cell>
          <cell r="Z37">
            <v>43.083300000000008</v>
          </cell>
          <cell r="AA37">
            <v>46.978759751458213</v>
          </cell>
          <cell r="AB37">
            <v>17.547402357758106</v>
          </cell>
          <cell r="AC37">
            <v>29.431357393700104</v>
          </cell>
          <cell r="AD37">
            <v>1415.6999999999998</v>
          </cell>
          <cell r="AE37">
            <v>710.59999999999991</v>
          </cell>
          <cell r="AF37">
            <v>1.784407542921475</v>
          </cell>
          <cell r="AG37">
            <v>1580</v>
          </cell>
          <cell r="AH37">
            <v>677</v>
          </cell>
          <cell r="AI37">
            <v>903</v>
          </cell>
          <cell r="AJ37">
            <v>45.978699999999989</v>
          </cell>
          <cell r="AK37">
            <v>19.639528738307089</v>
          </cell>
        </row>
        <row r="38">
          <cell r="F38">
            <v>1612</v>
          </cell>
          <cell r="G38">
            <v>835</v>
          </cell>
          <cell r="H38">
            <v>777</v>
          </cell>
          <cell r="I38">
            <v>52.736399999999989</v>
          </cell>
          <cell r="J38">
            <v>30.567122518791582</v>
          </cell>
          <cell r="K38">
            <v>15.833466068977028</v>
          </cell>
          <cell r="L38">
            <v>14.733656449814552</v>
          </cell>
          <cell r="M38">
            <v>1376.8999999999999</v>
          </cell>
          <cell r="N38">
            <v>628.6</v>
          </cell>
          <cell r="O38">
            <v>1.2360801781737194</v>
          </cell>
          <cell r="P38">
            <v>967</v>
          </cell>
          <cell r="Q38">
            <v>791</v>
          </cell>
          <cell r="R38">
            <v>176</v>
          </cell>
          <cell r="S38">
            <v>46.958000000000006</v>
          </cell>
          <cell r="T38">
            <v>3.7480301546062433</v>
          </cell>
          <cell r="W38">
            <v>1692</v>
          </cell>
          <cell r="X38">
            <v>848</v>
          </cell>
          <cell r="Y38">
            <v>844</v>
          </cell>
          <cell r="Z38">
            <v>51.125700000000002</v>
          </cell>
          <cell r="AA38">
            <v>33.094901390103217</v>
          </cell>
          <cell r="AB38">
            <v>16.586569963834236</v>
          </cell>
          <cell r="AC38">
            <v>16.508331426268981</v>
          </cell>
          <cell r="AD38">
            <v>1596.4</v>
          </cell>
          <cell r="AE38">
            <v>834.20000000000016</v>
          </cell>
          <cell r="AF38">
            <v>1.0117477823064012</v>
          </cell>
          <cell r="AG38">
            <v>1238</v>
          </cell>
          <cell r="AH38">
            <v>659</v>
          </cell>
          <cell r="AI38">
            <v>579</v>
          </cell>
          <cell r="AJ38">
            <v>50.303399999999996</v>
          </cell>
          <cell r="AK38">
            <v>11.510156371139924</v>
          </cell>
        </row>
        <row r="39">
          <cell r="F39">
            <v>1323</v>
          </cell>
          <cell r="G39">
            <v>1094</v>
          </cell>
          <cell r="H39">
            <v>229</v>
          </cell>
          <cell r="I39">
            <v>67.218000000000004</v>
          </cell>
          <cell r="J39">
            <v>19.682227974649646</v>
          </cell>
          <cell r="K39">
            <v>16.275402421970306</v>
          </cell>
          <cell r="L39">
            <v>3.4068255526793418</v>
          </cell>
          <cell r="M39">
            <v>1780.3999999999996</v>
          </cell>
          <cell r="N39">
            <v>827.8</v>
          </cell>
          <cell r="O39">
            <v>0.27663686880889105</v>
          </cell>
          <cell r="P39">
            <v>1535</v>
          </cell>
          <cell r="Q39">
            <v>942</v>
          </cell>
          <cell r="R39">
            <v>593</v>
          </cell>
          <cell r="S39">
            <v>64.477900000000005</v>
          </cell>
          <cell r="T39">
            <v>9.1969496525165972</v>
          </cell>
          <cell r="W39">
            <v>2148</v>
          </cell>
          <cell r="X39">
            <v>1082</v>
          </cell>
          <cell r="Y39">
            <v>1066</v>
          </cell>
          <cell r="Z39">
            <v>69.843900000000005</v>
          </cell>
          <cell r="AA39">
            <v>30.754296366611829</v>
          </cell>
          <cell r="AB39">
            <v>15.491689324336125</v>
          </cell>
          <cell r="AC39">
            <v>15.262607042275702</v>
          </cell>
          <cell r="AD39">
            <v>2090.9</v>
          </cell>
          <cell r="AE39">
            <v>1120.7</v>
          </cell>
          <cell r="AF39">
            <v>0.95119121977335586</v>
          </cell>
          <cell r="AG39">
            <v>1933</v>
          </cell>
          <cell r="AH39">
            <v>822</v>
          </cell>
          <cell r="AI39">
            <v>1111</v>
          </cell>
          <cell r="AJ39">
            <v>65.452100000000002</v>
          </cell>
          <cell r="AK39">
            <v>16.974245287775336</v>
          </cell>
        </row>
        <row r="40">
          <cell r="F40">
            <v>1357</v>
          </cell>
          <cell r="G40">
            <v>1073</v>
          </cell>
          <cell r="H40">
            <v>284</v>
          </cell>
          <cell r="I40">
            <v>67.133500000000012</v>
          </cell>
          <cell r="J40">
            <v>20.213455279405956</v>
          </cell>
          <cell r="K40">
            <v>15.983078492853789</v>
          </cell>
          <cell r="L40">
            <v>4.230376786552168</v>
          </cell>
          <cell r="M40">
            <v>1799.1000000000001</v>
          </cell>
          <cell r="N40">
            <v>846.90000000000009</v>
          </cell>
          <cell r="O40">
            <v>0.33534065415043096</v>
          </cell>
          <cell r="P40">
            <v>1502</v>
          </cell>
          <cell r="Q40">
            <v>922</v>
          </cell>
          <cell r="R40">
            <v>580</v>
          </cell>
          <cell r="S40">
            <v>67.746499999999997</v>
          </cell>
          <cell r="T40">
            <v>8.5613278914777897</v>
          </cell>
          <cell r="W40">
            <v>1991</v>
          </cell>
          <cell r="X40">
            <v>1047</v>
          </cell>
          <cell r="Y40">
            <v>944</v>
          </cell>
          <cell r="Z40">
            <v>67.524500000000003</v>
          </cell>
          <cell r="AA40">
            <v>29.485594117690614</v>
          </cell>
          <cell r="AB40">
            <v>15.505483194988486</v>
          </cell>
          <cell r="AC40">
            <v>13.98011092270213</v>
          </cell>
          <cell r="AD40">
            <v>2112.6999999999998</v>
          </cell>
          <cell r="AE40">
            <v>1143.0000000000002</v>
          </cell>
          <cell r="AF40">
            <v>0.82589676290463676</v>
          </cell>
          <cell r="AG40">
            <v>1900</v>
          </cell>
          <cell r="AH40">
            <v>713</v>
          </cell>
          <cell r="AI40">
            <v>1187</v>
          </cell>
          <cell r="AJ40">
            <v>69.171599999999998</v>
          </cell>
          <cell r="AK40">
            <v>17.160221825142109</v>
          </cell>
        </row>
        <row r="41">
          <cell r="F41">
            <v>1797</v>
          </cell>
          <cell r="G41">
            <v>1041</v>
          </cell>
          <cell r="H41">
            <v>756</v>
          </cell>
          <cell r="I41">
            <v>66.622500000000002</v>
          </cell>
          <cell r="J41">
            <v>26.972869526061015</v>
          </cell>
          <cell r="K41">
            <v>15.62535179556456</v>
          </cell>
          <cell r="L41">
            <v>11.347517730496454</v>
          </cell>
          <cell r="M41">
            <v>1833.2</v>
          </cell>
          <cell r="N41">
            <v>831</v>
          </cell>
          <cell r="O41">
            <v>0.90974729241877261</v>
          </cell>
          <cell r="P41">
            <v>1448</v>
          </cell>
          <cell r="Q41">
            <v>991</v>
          </cell>
          <cell r="R41">
            <v>457</v>
          </cell>
          <cell r="S41">
            <v>60.633800000000008</v>
          </cell>
          <cell r="T41">
            <v>7.5370502920813136</v>
          </cell>
          <cell r="W41">
            <v>2356</v>
          </cell>
          <cell r="X41">
            <v>997</v>
          </cell>
          <cell r="Y41">
            <v>1359</v>
          </cell>
          <cell r="Z41">
            <v>67.152900000000017</v>
          </cell>
          <cell r="AA41">
            <v>35.084114014435706</v>
          </cell>
          <cell r="AB41">
            <v>14.846715480641935</v>
          </cell>
          <cell r="AC41">
            <v>20.237398533793769</v>
          </cell>
          <cell r="AD41">
            <v>2150.6999999999998</v>
          </cell>
          <cell r="AE41">
            <v>1130.0999999999999</v>
          </cell>
          <cell r="AF41">
            <v>1.2025484470400851</v>
          </cell>
          <cell r="AG41">
            <v>1839</v>
          </cell>
          <cell r="AH41">
            <v>878</v>
          </cell>
          <cell r="AI41">
            <v>961</v>
          </cell>
          <cell r="AJ41">
            <v>58.981199999999994</v>
          </cell>
          <cell r="AK41">
            <v>16.293327365329972</v>
          </cell>
        </row>
        <row r="42">
          <cell r="F42">
            <v>1615</v>
          </cell>
          <cell r="G42">
            <v>1151</v>
          </cell>
          <cell r="H42">
            <v>464</v>
          </cell>
          <cell r="I42">
            <v>75.067400000000021</v>
          </cell>
          <cell r="J42">
            <v>21.513999419188618</v>
          </cell>
          <cell r="K42">
            <v>15.332887511756098</v>
          </cell>
          <cell r="L42">
            <v>6.1811119074325189</v>
          </cell>
          <cell r="M42">
            <v>2063.8000000000002</v>
          </cell>
          <cell r="N42">
            <v>1025.8</v>
          </cell>
          <cell r="O42">
            <v>0.45232988886722558</v>
          </cell>
          <cell r="P42">
            <v>1588</v>
          </cell>
          <cell r="Q42">
            <v>1067</v>
          </cell>
          <cell r="R42">
            <v>521</v>
          </cell>
          <cell r="S42">
            <v>66.59899999999999</v>
          </cell>
          <cell r="T42">
            <v>7.8229402843886557</v>
          </cell>
          <cell r="W42">
            <v>2447</v>
          </cell>
          <cell r="X42">
            <v>1180</v>
          </cell>
          <cell r="Y42">
            <v>1267</v>
          </cell>
          <cell r="Z42">
            <v>75.268100000000004</v>
          </cell>
          <cell r="AA42">
            <v>32.510452635312966</v>
          </cell>
          <cell r="AB42">
            <v>15.677292239341766</v>
          </cell>
          <cell r="AC42">
            <v>16.833160395971202</v>
          </cell>
          <cell r="AD42">
            <v>2423.6</v>
          </cell>
          <cell r="AE42">
            <v>1366.6000000000001</v>
          </cell>
          <cell r="AF42">
            <v>0.92711839601931789</v>
          </cell>
          <cell r="AG42">
            <v>1800</v>
          </cell>
          <cell r="AH42">
            <v>900</v>
          </cell>
          <cell r="AI42">
            <v>900</v>
          </cell>
          <cell r="AJ42">
            <v>68.285700000000006</v>
          </cell>
          <cell r="AK42">
            <v>13.179919075296876</v>
          </cell>
        </row>
        <row r="43">
          <cell r="F43">
            <v>2334</v>
          </cell>
          <cell r="G43">
            <v>1437</v>
          </cell>
          <cell r="H43">
            <v>897</v>
          </cell>
          <cell r="I43">
            <v>84.802300000000017</v>
          </cell>
          <cell r="J43">
            <v>27.522838413580757</v>
          </cell>
          <cell r="K43">
            <v>16.945295115816432</v>
          </cell>
          <cell r="L43">
            <v>10.577543297764327</v>
          </cell>
          <cell r="M43">
            <v>2662.0999999999995</v>
          </cell>
          <cell r="N43">
            <v>1299.4999999999998</v>
          </cell>
          <cell r="O43">
            <v>0.69026548672566379</v>
          </cell>
          <cell r="P43">
            <v>1849</v>
          </cell>
          <cell r="Q43">
            <v>1371</v>
          </cell>
          <cell r="R43">
            <v>478</v>
          </cell>
          <cell r="S43">
            <v>59.857500000000002</v>
          </cell>
          <cell r="T43">
            <v>7.9856325439585678</v>
          </cell>
          <cell r="W43">
            <v>3568</v>
          </cell>
          <cell r="X43">
            <v>1500</v>
          </cell>
          <cell r="Y43">
            <v>2068</v>
          </cell>
          <cell r="Z43">
            <v>85.681700000000021</v>
          </cell>
          <cell r="AA43">
            <v>41.64249775623032</v>
          </cell>
          <cell r="AB43">
            <v>17.506655446845706</v>
          </cell>
          <cell r="AC43">
            <v>24.135842309384611</v>
          </cell>
          <cell r="AD43">
            <v>3126.8</v>
          </cell>
          <cell r="AE43">
            <v>1739.1000000000001</v>
          </cell>
          <cell r="AF43">
            <v>1.1891208096141681</v>
          </cell>
          <cell r="AG43">
            <v>2021</v>
          </cell>
          <cell r="AH43">
            <v>1164</v>
          </cell>
          <cell r="AI43">
            <v>857</v>
          </cell>
          <cell r="AJ43">
            <v>63.6828</v>
          </cell>
          <cell r="AK43">
            <v>13.457322856407067</v>
          </cell>
        </row>
        <row r="44">
          <cell r="F44">
            <v>670</v>
          </cell>
          <cell r="G44">
            <v>406</v>
          </cell>
          <cell r="H44">
            <v>264</v>
          </cell>
          <cell r="I44">
            <v>25.372900000000001</v>
          </cell>
          <cell r="J44">
            <v>26.406126221283337</v>
          </cell>
          <cell r="K44">
            <v>16.001324247523932</v>
          </cell>
          <cell r="L44">
            <v>10.404801973759405</v>
          </cell>
          <cell r="M44">
            <v>789.69999999999993</v>
          </cell>
          <cell r="N44">
            <v>398.99999999999994</v>
          </cell>
          <cell r="O44">
            <v>0.66165413533834594</v>
          </cell>
          <cell r="P44">
            <v>486</v>
          </cell>
          <cell r="Q44">
            <v>281</v>
          </cell>
          <cell r="R44">
            <v>205</v>
          </cell>
          <cell r="S44">
            <v>24.5839</v>
          </cell>
          <cell r="T44">
            <v>8.338790834651947</v>
          </cell>
          <cell r="W44">
            <v>967</v>
          </cell>
          <cell r="X44">
            <v>383</v>
          </cell>
          <cell r="Y44">
            <v>584</v>
          </cell>
          <cell r="Z44">
            <v>24.068800000000003</v>
          </cell>
          <cell r="AA44">
            <v>40.176494050388882</v>
          </cell>
          <cell r="AB44">
            <v>15.912716878282255</v>
          </cell>
          <cell r="AC44">
            <v>24.263777172106625</v>
          </cell>
          <cell r="AD44">
            <v>927.4</v>
          </cell>
          <cell r="AE44">
            <v>529.6</v>
          </cell>
          <cell r="AF44">
            <v>1.1027190332326284</v>
          </cell>
          <cell r="AG44">
            <v>761</v>
          </cell>
          <cell r="AH44">
            <v>248</v>
          </cell>
          <cell r="AI44">
            <v>513</v>
          </cell>
          <cell r="AJ44">
            <v>24.137300000000003</v>
          </cell>
          <cell r="AK44">
            <v>21.253412767790927</v>
          </cell>
        </row>
        <row r="45">
          <cell r="F45">
            <v>1564</v>
          </cell>
          <cell r="G45">
            <v>975</v>
          </cell>
          <cell r="H45">
            <v>589</v>
          </cell>
          <cell r="I45">
            <v>52.292400000000001</v>
          </cell>
          <cell r="J45">
            <v>29.908743909248763</v>
          </cell>
          <cell r="K45">
            <v>18.645156848796383</v>
          </cell>
          <cell r="L45">
            <v>11.263587060452378</v>
          </cell>
          <cell r="M45">
            <v>1563.9999999999998</v>
          </cell>
          <cell r="N45">
            <v>618.60000000000014</v>
          </cell>
          <cell r="O45">
            <v>0.95215001616553485</v>
          </cell>
          <cell r="P45">
            <v>1517</v>
          </cell>
          <cell r="Q45">
            <v>1060</v>
          </cell>
          <cell r="R45">
            <v>457</v>
          </cell>
          <cell r="S45">
            <v>51.003899999999994</v>
          </cell>
          <cell r="T45">
            <v>8.9600991296743988</v>
          </cell>
          <cell r="W45">
            <v>1695</v>
          </cell>
          <cell r="X45">
            <v>1031</v>
          </cell>
          <cell r="Y45">
            <v>664</v>
          </cell>
          <cell r="Z45">
            <v>50.470100000000002</v>
          </cell>
          <cell r="AA45">
            <v>33.58424096643359</v>
          </cell>
          <cell r="AB45">
            <v>20.427936540644858</v>
          </cell>
          <cell r="AC45">
            <v>13.156304425788734</v>
          </cell>
          <cell r="AD45">
            <v>1836.9999999999998</v>
          </cell>
          <cell r="AE45">
            <v>873.99999999999989</v>
          </cell>
          <cell r="AF45">
            <v>0.75972540045766601</v>
          </cell>
          <cell r="AG45">
            <v>1699</v>
          </cell>
          <cell r="AH45">
            <v>761</v>
          </cell>
          <cell r="AI45">
            <v>938</v>
          </cell>
          <cell r="AJ45">
            <v>53.496899999999997</v>
          </cell>
          <cell r="AK45">
            <v>17.533726253296923</v>
          </cell>
        </row>
        <row r="46">
          <cell r="F46">
            <v>2383</v>
          </cell>
          <cell r="G46">
            <v>1076</v>
          </cell>
          <cell r="H46">
            <v>1307</v>
          </cell>
          <cell r="I46">
            <v>75.811599999999999</v>
          </cell>
          <cell r="J46">
            <v>31.433184367563804</v>
          </cell>
          <cell r="K46">
            <v>14.193078631766115</v>
          </cell>
          <cell r="L46">
            <v>17.240105735797687</v>
          </cell>
          <cell r="M46">
            <v>2386.2999999999997</v>
          </cell>
          <cell r="N46">
            <v>1353.1</v>
          </cell>
          <cell r="O46">
            <v>0.96593008646811029</v>
          </cell>
          <cell r="P46">
            <v>1695</v>
          </cell>
          <cell r="Q46">
            <v>915</v>
          </cell>
          <cell r="R46">
            <v>780</v>
          </cell>
          <cell r="S46">
            <v>55.490899999999996</v>
          </cell>
          <cell r="T46">
            <v>14.056358790360223</v>
          </cell>
          <cell r="W46">
            <v>3331</v>
          </cell>
          <cell r="X46">
            <v>1061</v>
          </cell>
          <cell r="Y46">
            <v>2270</v>
          </cell>
          <cell r="Z46">
            <v>75.745699999999999</v>
          </cell>
          <cell r="AA46">
            <v>43.976093692447229</v>
          </cell>
          <cell r="AB46">
            <v>14.007395799365508</v>
          </cell>
          <cell r="AC46">
            <v>29.968697893081721</v>
          </cell>
          <cell r="AD46">
            <v>2802.4</v>
          </cell>
          <cell r="AE46">
            <v>1750.2</v>
          </cell>
          <cell r="AF46">
            <v>1.2969946291852359</v>
          </cell>
          <cell r="AG46">
            <v>2259</v>
          </cell>
          <cell r="AH46">
            <v>714</v>
          </cell>
          <cell r="AI46">
            <v>1545</v>
          </cell>
          <cell r="AJ46">
            <v>60.454900000000002</v>
          </cell>
          <cell r="AK46">
            <v>25.556241098736411</v>
          </cell>
        </row>
        <row r="47">
          <cell r="F47">
            <v>1596</v>
          </cell>
          <cell r="G47">
            <v>905</v>
          </cell>
          <cell r="H47" t="e">
            <v>#VALUE!</v>
          </cell>
          <cell r="I47">
            <v>50.907099999999993</v>
          </cell>
          <cell r="J47">
            <v>31.351226056876158</v>
          </cell>
          <cell r="K47">
            <v>17.777480940772509</v>
          </cell>
          <cell r="L47">
            <v>0</v>
          </cell>
          <cell r="M47">
            <v>1640.1999999999998</v>
          </cell>
          <cell r="N47">
            <v>650.79999999999995</v>
          </cell>
          <cell r="O47" t="e">
            <v>#VALUE!</v>
          </cell>
          <cell r="P47">
            <v>1835</v>
          </cell>
          <cell r="Q47">
            <v>1057</v>
          </cell>
          <cell r="R47" t="e">
            <v>#VALUE!</v>
          </cell>
          <cell r="S47">
            <v>51.209400000000009</v>
          </cell>
          <cell r="T47" t="e">
            <v>#VALUE!</v>
          </cell>
          <cell r="W47">
            <v>2003</v>
          </cell>
          <cell r="X47">
            <v>1059</v>
          </cell>
          <cell r="Y47" t="e">
            <v>#VALUE!</v>
          </cell>
          <cell r="Z47">
            <v>52.395499999999998</v>
          </cell>
          <cell r="AA47">
            <v>38.228473819316548</v>
          </cell>
          <cell r="AB47">
            <v>20.211659398230765</v>
          </cell>
          <cell r="AC47">
            <v>0</v>
          </cell>
          <cell r="AD47">
            <v>1926.6</v>
          </cell>
          <cell r="AE47">
            <v>918.80000000000007</v>
          </cell>
          <cell r="AF47" t="e">
            <v>#VALUE!</v>
          </cell>
          <cell r="AG47">
            <v>2401</v>
          </cell>
          <cell r="AH47">
            <v>882</v>
          </cell>
          <cell r="AI47" t="e">
            <v>#VALUE!</v>
          </cell>
          <cell r="AJ47">
            <v>53.707300000000004</v>
          </cell>
          <cell r="AK47" t="e">
            <v>#VALUE!</v>
          </cell>
        </row>
        <row r="48">
          <cell r="F48">
            <v>1498</v>
          </cell>
          <cell r="G48">
            <v>918</v>
          </cell>
          <cell r="H48">
            <v>580</v>
          </cell>
          <cell r="I48">
            <v>78.040600000000012</v>
          </cell>
          <cell r="J48">
            <v>19.195136890285308</v>
          </cell>
          <cell r="K48">
            <v>11.763107920748942</v>
          </cell>
          <cell r="L48">
            <v>7.4320289695363684</v>
          </cell>
          <cell r="M48">
            <v>2256.1999999999998</v>
          </cell>
          <cell r="N48">
            <v>1325.8</v>
          </cell>
          <cell r="O48">
            <v>0.43747171519082817</v>
          </cell>
          <cell r="P48">
            <v>1410</v>
          </cell>
          <cell r="Q48">
            <v>853</v>
          </cell>
          <cell r="R48">
            <v>557</v>
          </cell>
          <cell r="S48">
            <v>69.320000000000007</v>
          </cell>
          <cell r="T48">
            <v>8.0351990767455277</v>
          </cell>
          <cell r="W48">
            <v>2109</v>
          </cell>
          <cell r="X48">
            <v>887</v>
          </cell>
          <cell r="Y48">
            <v>1222</v>
          </cell>
          <cell r="Z48">
            <v>78.232700000000008</v>
          </cell>
          <cell r="AA48">
            <v>26.958036728887024</v>
          </cell>
          <cell r="AB48">
            <v>11.337969928175813</v>
          </cell>
          <cell r="AC48">
            <v>15.620066800711211</v>
          </cell>
          <cell r="AD48">
            <v>2649.4</v>
          </cell>
          <cell r="AE48">
            <v>1701.9000000000003</v>
          </cell>
          <cell r="AF48">
            <v>0.71802103531347305</v>
          </cell>
          <cell r="AG48">
            <v>1975</v>
          </cell>
          <cell r="AH48">
            <v>523</v>
          </cell>
          <cell r="AI48">
            <v>1452</v>
          </cell>
          <cell r="AJ48">
            <v>70.95389999999999</v>
          </cell>
          <cell r="AK48">
            <v>20.463991408506089</v>
          </cell>
        </row>
        <row r="49">
          <cell r="F49">
            <v>29233</v>
          </cell>
          <cell r="G49">
            <v>17429</v>
          </cell>
          <cell r="H49" t="e">
            <v>#VALUE!</v>
          </cell>
          <cell r="I49">
            <v>1086.5248000000001</v>
          </cell>
          <cell r="J49">
            <v>26.905046253891303</v>
          </cell>
          <cell r="K49">
            <v>16.04105124889924</v>
          </cell>
          <cell r="L49">
            <v>0</v>
          </cell>
          <cell r="M49">
            <v>30853.599999999999</v>
          </cell>
          <cell r="N49">
            <v>14391.4</v>
          </cell>
          <cell r="O49" t="e">
            <v>#VALUE!</v>
          </cell>
          <cell r="P49">
            <v>25348</v>
          </cell>
          <cell r="Q49">
            <v>16819</v>
          </cell>
          <cell r="R49" t="e">
            <v>#VALUE!</v>
          </cell>
          <cell r="S49">
            <v>1000.7439999999999</v>
          </cell>
          <cell r="T49" t="e">
            <v>#VALUE!</v>
          </cell>
          <cell r="W49">
            <v>39165</v>
          </cell>
          <cell r="X49">
            <v>17713</v>
          </cell>
          <cell r="Y49" t="e">
            <v>#VALUE!</v>
          </cell>
          <cell r="Z49">
            <v>1093.8136999999999</v>
          </cell>
          <cell r="AA49">
            <v>35.805914663529997</v>
          </cell>
          <cell r="AB49">
            <v>16.193799730246567</v>
          </cell>
          <cell r="AC49">
            <v>0</v>
          </cell>
          <cell r="AD49">
            <v>35933.700000000004</v>
          </cell>
          <cell r="AE49">
            <v>19169.300000000003</v>
          </cell>
          <cell r="AF49" t="e">
            <v>#VALUE!</v>
          </cell>
          <cell r="AG49">
            <v>32038</v>
          </cell>
          <cell r="AH49">
            <v>14014</v>
          </cell>
          <cell r="AI49" t="e">
            <v>#VALUE!</v>
          </cell>
          <cell r="AJ49">
            <v>1035.2025000000001</v>
          </cell>
          <cell r="AK49" t="e">
            <v>#VALUE!</v>
          </cell>
        </row>
        <row r="50">
          <cell r="F50">
            <v>0</v>
          </cell>
          <cell r="G50">
            <v>0</v>
          </cell>
          <cell r="H50" t="e">
            <v>#VALUE!</v>
          </cell>
          <cell r="I50">
            <v>1.8189894035458565E-12</v>
          </cell>
          <cell r="J50">
            <v>-4.2632564145606011E-14</v>
          </cell>
          <cell r="K50">
            <v>-2.8421709430404007E-14</v>
          </cell>
          <cell r="L50" t="e">
            <v>#VALUE!</v>
          </cell>
          <cell r="M50">
            <v>0</v>
          </cell>
          <cell r="N50">
            <v>0</v>
          </cell>
          <cell r="O50" t="e">
            <v>#VALUE!</v>
          </cell>
          <cell r="P50">
            <v>0</v>
          </cell>
          <cell r="Q50">
            <v>0</v>
          </cell>
          <cell r="R50" t="e">
            <v>#VALUE!</v>
          </cell>
          <cell r="S50">
            <v>2.6147972675971687E-12</v>
          </cell>
          <cell r="T50" t="e">
            <v>#VALUE!</v>
          </cell>
          <cell r="W50">
            <v>0</v>
          </cell>
          <cell r="X50">
            <v>0</v>
          </cell>
          <cell r="Y50" t="e">
            <v>#VALUE!</v>
          </cell>
          <cell r="Z50">
            <v>2.2737367544323206E-12</v>
          </cell>
          <cell r="AA50">
            <v>-7.815970093361102E-14</v>
          </cell>
          <cell r="AB50">
            <v>-3.5527136788005009E-14</v>
          </cell>
          <cell r="AC50" t="e">
            <v>#VALUE!</v>
          </cell>
          <cell r="AD50">
            <v>0</v>
          </cell>
          <cell r="AE50">
            <v>0</v>
          </cell>
          <cell r="AF50" t="e">
            <v>#VALUE!</v>
          </cell>
          <cell r="AG50">
            <v>0</v>
          </cell>
          <cell r="AH50">
            <v>0</v>
          </cell>
          <cell r="AI50" t="e">
            <v>#VALUE!</v>
          </cell>
          <cell r="AJ50">
            <v>0</v>
          </cell>
          <cell r="AK50" t="e">
            <v>#VALUE!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1Input"/>
      <sheetName val="Month"/>
      <sheetName val="Monthly for Qtr"/>
      <sheetName val="Explanation"/>
    </sheetNames>
    <sheetDataSet>
      <sheetData sheetId="0" refreshError="1">
        <row r="23">
          <cell r="C23" t="str">
            <v>April</v>
          </cell>
        </row>
      </sheetData>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Statics"/>
      <sheetName val="Input"/>
      <sheetName val="Sheet1"/>
      <sheetName val="cover"/>
      <sheetName val="managed loans"/>
      <sheetName val="linked qtr"/>
      <sheetName val="Growth"/>
      <sheetName val="NIM"/>
      <sheetName val="NII"/>
      <sheetName val="NIE"/>
      <sheetName val="linked qtr (IS)"/>
      <sheetName val="linked qtr (BS Avg)"/>
      <sheetName val="linked qtr (BS EOP)"/>
      <sheetName val="Module2"/>
    </sheetNames>
    <sheetDataSet>
      <sheetData sheetId="0" refreshError="1"/>
      <sheetData sheetId="1" refreshError="1">
        <row r="9">
          <cell r="A9">
            <v>2005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TRND"/>
      <sheetName val="statics"/>
      <sheetName val="Audit B"/>
      <sheetName val="Extras!"/>
      <sheetName val="ROLLTRND.XLS"/>
    </sheetNames>
    <definedNames>
      <definedName name="NotesExport"/>
      <definedName name="UnhideSheets"/>
    </defined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FL"/>
      <sheetName val="Tx"/>
      <sheetName val="AL(1-26-99)"/>
      <sheetName val="Data"/>
    </sheetNames>
    <sheetDataSet>
      <sheetData sheetId="0" refreshError="1"/>
      <sheetData sheetId="1" refreshError="1"/>
      <sheetData sheetId="2" refreshError="1"/>
      <sheetData sheetId="3" refreshError="1">
        <row r="1">
          <cell r="A1" t="str">
            <v>REGION-DESC</v>
          </cell>
          <cell r="B1" t="str">
            <v>MARKETING-PRODUCT</v>
          </cell>
          <cell r="C1" t="str">
            <v>ACCT-NBR</v>
          </cell>
          <cell r="D1" t="str">
            <v>TRANS-STAT-CD</v>
          </cell>
          <cell r="E1" t="str">
            <v>START-DATE</v>
          </cell>
          <cell r="F1" t="str">
            <v>ORIG-BK-VALUE</v>
          </cell>
          <cell r="G1" t="str">
            <v>CURR-TERM</v>
          </cell>
          <cell r="H1" t="str">
            <v>COUPON-RT</v>
          </cell>
        </row>
        <row r="2">
          <cell r="A2" t="str">
            <v>AL/FL/TX Metro - J.Barri</v>
          </cell>
          <cell r="B2" t="str">
            <v>G. Equity Loan</v>
          </cell>
          <cell r="C2">
            <v>61264825</v>
          </cell>
          <cell r="D2" t="str">
            <v>ACT</v>
          </cell>
          <cell r="E2">
            <v>36060</v>
          </cell>
          <cell r="F2">
            <v>10000</v>
          </cell>
          <cell r="G2">
            <v>36</v>
          </cell>
          <cell r="H2">
            <v>0.1124</v>
          </cell>
        </row>
        <row r="3">
          <cell r="A3" t="str">
            <v>AL/FL/TX Metro - J.Barri</v>
          </cell>
          <cell r="B3" t="str">
            <v>G. Equity Loan</v>
          </cell>
          <cell r="C3">
            <v>61264590</v>
          </cell>
          <cell r="D3" t="str">
            <v>ACT</v>
          </cell>
          <cell r="E3">
            <v>36060</v>
          </cell>
          <cell r="F3">
            <v>10000</v>
          </cell>
          <cell r="G3">
            <v>60</v>
          </cell>
          <cell r="H3">
            <v>0.1099</v>
          </cell>
        </row>
        <row r="4">
          <cell r="A4" t="str">
            <v>AL/FL/TX Metro - J.Barri</v>
          </cell>
          <cell r="B4" t="str">
            <v>G. Equity Loan</v>
          </cell>
          <cell r="C4">
            <v>61265414</v>
          </cell>
          <cell r="D4" t="str">
            <v>ACT</v>
          </cell>
          <cell r="E4">
            <v>36077</v>
          </cell>
          <cell r="F4">
            <v>10000</v>
          </cell>
          <cell r="G4">
            <v>60</v>
          </cell>
          <cell r="H4">
            <v>0.1099</v>
          </cell>
        </row>
        <row r="5">
          <cell r="A5" t="str">
            <v>AL/FL Gulf Community - J.Heslop</v>
          </cell>
          <cell r="B5" t="str">
            <v>G. Equity Loan</v>
          </cell>
          <cell r="C5">
            <v>61265279</v>
          </cell>
          <cell r="D5" t="str">
            <v>ACT</v>
          </cell>
          <cell r="E5">
            <v>36061</v>
          </cell>
          <cell r="F5">
            <v>10000</v>
          </cell>
          <cell r="G5">
            <v>60</v>
          </cell>
          <cell r="H5">
            <v>0.1024</v>
          </cell>
        </row>
        <row r="6">
          <cell r="A6" t="str">
            <v>AL/FL/TX Metro - J.Barri</v>
          </cell>
          <cell r="B6" t="str">
            <v>G. Equity Loan</v>
          </cell>
          <cell r="C6">
            <v>61257691</v>
          </cell>
          <cell r="D6" t="str">
            <v>ACT</v>
          </cell>
          <cell r="E6">
            <v>36062</v>
          </cell>
          <cell r="F6">
            <v>10000</v>
          </cell>
          <cell r="G6">
            <v>120</v>
          </cell>
          <cell r="H6">
            <v>9.9900000000000003E-2</v>
          </cell>
        </row>
        <row r="7">
          <cell r="A7" t="str">
            <v>AL/FL/TX Metro - J.Barri</v>
          </cell>
          <cell r="B7" t="str">
            <v>G. Equity Loan</v>
          </cell>
          <cell r="C7">
            <v>61310428</v>
          </cell>
          <cell r="D7" t="str">
            <v>NEW</v>
          </cell>
          <cell r="E7">
            <v>36102</v>
          </cell>
          <cell r="F7">
            <v>10000</v>
          </cell>
          <cell r="G7">
            <v>120</v>
          </cell>
          <cell r="H7">
            <v>9.74E-2</v>
          </cell>
        </row>
        <row r="8">
          <cell r="A8" t="str">
            <v>AL/FL Gulf Community - J.Heslop</v>
          </cell>
          <cell r="B8" t="str">
            <v>G. Equity Loan</v>
          </cell>
          <cell r="C8">
            <v>61268804</v>
          </cell>
          <cell r="D8" t="str">
            <v>NEW</v>
          </cell>
          <cell r="E8">
            <v>36090</v>
          </cell>
          <cell r="F8">
            <v>10000</v>
          </cell>
          <cell r="G8">
            <v>120</v>
          </cell>
          <cell r="H8">
            <v>9.4899999999999998E-2</v>
          </cell>
        </row>
        <row r="9">
          <cell r="A9" t="str">
            <v>AL/FL/TX Metro - J.Barri</v>
          </cell>
          <cell r="B9" t="str">
            <v>G. Equity Loan</v>
          </cell>
          <cell r="C9">
            <v>61208364</v>
          </cell>
          <cell r="D9" t="str">
            <v>NEW</v>
          </cell>
          <cell r="E9">
            <v>36117</v>
          </cell>
          <cell r="F9">
            <v>10000</v>
          </cell>
          <cell r="G9">
            <v>120</v>
          </cell>
          <cell r="H9">
            <v>9.4899999999999998E-2</v>
          </cell>
        </row>
        <row r="10">
          <cell r="A10" t="str">
            <v>AL/FL/TX Metro - J.Barri</v>
          </cell>
          <cell r="B10" t="str">
            <v>G. Equity Loan</v>
          </cell>
          <cell r="C10">
            <v>61264906</v>
          </cell>
          <cell r="D10" t="str">
            <v>ACT</v>
          </cell>
          <cell r="E10">
            <v>36069</v>
          </cell>
          <cell r="F10">
            <v>10500</v>
          </cell>
          <cell r="G10">
            <v>60</v>
          </cell>
          <cell r="H10">
            <v>9.9900000000000003E-2</v>
          </cell>
        </row>
        <row r="11">
          <cell r="A11" t="str">
            <v>AL/FL/TX Metro - J.Barri</v>
          </cell>
          <cell r="B11" t="str">
            <v>G. Equity Loan</v>
          </cell>
          <cell r="C11">
            <v>61208283</v>
          </cell>
          <cell r="D11" t="str">
            <v>ACT</v>
          </cell>
          <cell r="E11">
            <v>36042</v>
          </cell>
          <cell r="F11">
            <v>10500</v>
          </cell>
          <cell r="G11">
            <v>120</v>
          </cell>
          <cell r="H11">
            <v>9.9900000000000003E-2</v>
          </cell>
        </row>
        <row r="12">
          <cell r="A12" t="str">
            <v>AL/FL/TX Metro - J.Barri</v>
          </cell>
          <cell r="B12" t="str">
            <v>G. Equity Loan</v>
          </cell>
          <cell r="C12">
            <v>61311424</v>
          </cell>
          <cell r="D12" t="str">
            <v>NEW</v>
          </cell>
          <cell r="E12">
            <v>36098</v>
          </cell>
          <cell r="F12">
            <v>10500</v>
          </cell>
          <cell r="G12">
            <v>120</v>
          </cell>
          <cell r="H12">
            <v>9.4899999999999998E-2</v>
          </cell>
        </row>
        <row r="13">
          <cell r="A13" t="str">
            <v>AL/FL Gulf Community - J.Heslop</v>
          </cell>
          <cell r="B13" t="str">
            <v>G. Equity Loan</v>
          </cell>
          <cell r="C13">
            <v>61269339</v>
          </cell>
          <cell r="D13" t="str">
            <v>NEW</v>
          </cell>
          <cell r="E13">
            <v>36088</v>
          </cell>
          <cell r="F13">
            <v>11000</v>
          </cell>
          <cell r="G13">
            <v>120</v>
          </cell>
          <cell r="H13">
            <v>0.1024</v>
          </cell>
        </row>
        <row r="14">
          <cell r="A14" t="str">
            <v>AL/FL/TX Metro - J.Barri</v>
          </cell>
          <cell r="B14" t="str">
            <v>G. Equity Loan</v>
          </cell>
          <cell r="C14">
            <v>61311173</v>
          </cell>
          <cell r="D14" t="str">
            <v>NEW</v>
          </cell>
          <cell r="E14">
            <v>36097</v>
          </cell>
          <cell r="F14">
            <v>11000</v>
          </cell>
          <cell r="G14">
            <v>120</v>
          </cell>
          <cell r="H14">
            <v>9.4899999999999998E-2</v>
          </cell>
        </row>
        <row r="15">
          <cell r="A15" t="str">
            <v>AL/FL/TX Metro - J.Barri</v>
          </cell>
          <cell r="B15" t="str">
            <v>G. Equity Loan</v>
          </cell>
          <cell r="C15">
            <v>61310355</v>
          </cell>
          <cell r="D15" t="str">
            <v>NEW</v>
          </cell>
          <cell r="E15">
            <v>36103</v>
          </cell>
          <cell r="F15">
            <v>11500</v>
          </cell>
          <cell r="G15">
            <v>120</v>
          </cell>
          <cell r="H15">
            <v>9.4899999999999998E-2</v>
          </cell>
        </row>
        <row r="16">
          <cell r="A16" t="str">
            <v>AL/FL/TX Metro - J.Barri</v>
          </cell>
          <cell r="B16" t="str">
            <v>G. Equity Loan</v>
          </cell>
          <cell r="C16">
            <v>61259317</v>
          </cell>
          <cell r="D16" t="str">
            <v>ACT</v>
          </cell>
          <cell r="E16">
            <v>36041</v>
          </cell>
          <cell r="F16">
            <v>11800</v>
          </cell>
          <cell r="G16">
            <v>120</v>
          </cell>
          <cell r="H16">
            <v>9.9900000000000003E-2</v>
          </cell>
        </row>
        <row r="17">
          <cell r="A17" t="str">
            <v>AL/FL/TX Metro - J.Barri</v>
          </cell>
          <cell r="B17" t="str">
            <v>G. Equity Loan</v>
          </cell>
          <cell r="C17">
            <v>61258744</v>
          </cell>
          <cell r="D17" t="str">
            <v>ACT</v>
          </cell>
          <cell r="E17">
            <v>36054</v>
          </cell>
          <cell r="F17">
            <v>12000</v>
          </cell>
          <cell r="G17">
            <v>180</v>
          </cell>
          <cell r="H17">
            <v>0.1099</v>
          </cell>
        </row>
        <row r="18">
          <cell r="A18" t="str">
            <v>AL/FL/TX Metro - J.Barri</v>
          </cell>
          <cell r="B18" t="str">
            <v>G. Equity Loan</v>
          </cell>
          <cell r="C18">
            <v>61264795</v>
          </cell>
          <cell r="D18" t="str">
            <v>ACT</v>
          </cell>
          <cell r="E18">
            <v>36070</v>
          </cell>
          <cell r="F18">
            <v>12000</v>
          </cell>
          <cell r="G18">
            <v>60</v>
          </cell>
          <cell r="H18">
            <v>9.9900000000000003E-2</v>
          </cell>
        </row>
        <row r="19">
          <cell r="A19" t="str">
            <v>AL/FL/TX Metro - J.Barri</v>
          </cell>
          <cell r="B19" t="str">
            <v>G. Equity Loan</v>
          </cell>
          <cell r="C19">
            <v>61265643</v>
          </cell>
          <cell r="D19" t="str">
            <v>ACT</v>
          </cell>
          <cell r="E19">
            <v>36062</v>
          </cell>
          <cell r="F19">
            <v>12300</v>
          </cell>
          <cell r="G19">
            <v>96</v>
          </cell>
          <cell r="H19">
            <v>0.1024</v>
          </cell>
        </row>
        <row r="20">
          <cell r="A20" t="str">
            <v>AL/FL/TX Metro - J.Barri</v>
          </cell>
          <cell r="B20" t="str">
            <v>G. Equity Loan</v>
          </cell>
          <cell r="C20">
            <v>61308148</v>
          </cell>
          <cell r="D20" t="str">
            <v>NEW</v>
          </cell>
          <cell r="E20">
            <v>36118</v>
          </cell>
          <cell r="F20">
            <v>13000</v>
          </cell>
          <cell r="G20">
            <v>120</v>
          </cell>
          <cell r="H20">
            <v>0.10489999999999999</v>
          </cell>
        </row>
        <row r="21">
          <cell r="A21" t="str">
            <v>AL/FL Gulf Community - J.Heslop</v>
          </cell>
          <cell r="B21" t="str">
            <v>G. Equity Loan</v>
          </cell>
          <cell r="C21">
            <v>61289674</v>
          </cell>
          <cell r="D21" t="str">
            <v>NEW</v>
          </cell>
          <cell r="E21">
            <v>36103</v>
          </cell>
          <cell r="F21">
            <v>13000</v>
          </cell>
          <cell r="G21">
            <v>120</v>
          </cell>
          <cell r="H21">
            <v>9.74E-2</v>
          </cell>
        </row>
        <row r="22">
          <cell r="A22" t="str">
            <v>AL/FL/TX Metro - J.Barri</v>
          </cell>
          <cell r="B22" t="str">
            <v>G. Equity Loan</v>
          </cell>
          <cell r="C22">
            <v>61260536</v>
          </cell>
          <cell r="D22" t="str">
            <v>ACT</v>
          </cell>
          <cell r="E22">
            <v>36040</v>
          </cell>
          <cell r="F22">
            <v>13300</v>
          </cell>
          <cell r="G22">
            <v>120</v>
          </cell>
          <cell r="H22">
            <v>9.9900000000000003E-2</v>
          </cell>
        </row>
        <row r="23">
          <cell r="A23" t="str">
            <v>AL/FL Gulf Community - J.Heslop</v>
          </cell>
          <cell r="B23" t="str">
            <v>G. Equity Loan</v>
          </cell>
          <cell r="C23">
            <v>61266720</v>
          </cell>
          <cell r="D23" t="str">
            <v>ACT</v>
          </cell>
          <cell r="E23">
            <v>36073</v>
          </cell>
          <cell r="F23">
            <v>13500</v>
          </cell>
          <cell r="G23">
            <v>120</v>
          </cell>
          <cell r="H23">
            <v>9.9900000000000003E-2</v>
          </cell>
        </row>
        <row r="24">
          <cell r="A24" t="str">
            <v>AL/FL Gulf Community - J.Heslop</v>
          </cell>
          <cell r="B24" t="str">
            <v>G. Equity Loan</v>
          </cell>
          <cell r="C24">
            <v>61257950</v>
          </cell>
          <cell r="D24" t="str">
            <v>ACT</v>
          </cell>
          <cell r="E24">
            <v>36052</v>
          </cell>
          <cell r="F24">
            <v>13900</v>
          </cell>
          <cell r="G24">
            <v>120</v>
          </cell>
          <cell r="H24">
            <v>9.9900000000000003E-2</v>
          </cell>
        </row>
        <row r="25">
          <cell r="A25" t="str">
            <v>AL/FL/TX Metro - J.Barri</v>
          </cell>
          <cell r="B25" t="str">
            <v>G. Equity Loan</v>
          </cell>
          <cell r="C25">
            <v>61310959</v>
          </cell>
          <cell r="D25" t="str">
            <v>NEW</v>
          </cell>
          <cell r="E25">
            <v>36095</v>
          </cell>
          <cell r="F25">
            <v>14300</v>
          </cell>
          <cell r="G25">
            <v>120</v>
          </cell>
          <cell r="H25">
            <v>8.4900000000000003E-2</v>
          </cell>
        </row>
        <row r="26">
          <cell r="A26" t="str">
            <v>AL/FL Gulf Community - J.Heslop</v>
          </cell>
          <cell r="B26" t="str">
            <v>G. Equity Loan</v>
          </cell>
          <cell r="C26">
            <v>61310673</v>
          </cell>
          <cell r="D26" t="str">
            <v>NEW</v>
          </cell>
          <cell r="E26">
            <v>36103</v>
          </cell>
          <cell r="F26">
            <v>14400</v>
          </cell>
          <cell r="G26">
            <v>180</v>
          </cell>
          <cell r="H26">
            <v>8.2400000000000001E-2</v>
          </cell>
        </row>
        <row r="27">
          <cell r="A27" t="str">
            <v>AL/FL Gulf Community - J.Heslop</v>
          </cell>
          <cell r="B27" t="str">
            <v>G. Equity Loan</v>
          </cell>
          <cell r="C27">
            <v>61268162</v>
          </cell>
          <cell r="D27" t="str">
            <v>ACT</v>
          </cell>
          <cell r="E27">
            <v>36089</v>
          </cell>
          <cell r="F27">
            <v>15000</v>
          </cell>
          <cell r="G27">
            <v>120</v>
          </cell>
          <cell r="H27">
            <v>0.1099</v>
          </cell>
        </row>
        <row r="28">
          <cell r="A28" t="str">
            <v>AL/FL Gulf Community - J.Heslop</v>
          </cell>
          <cell r="B28" t="str">
            <v>G. Equity Loan</v>
          </cell>
          <cell r="C28">
            <v>61307834</v>
          </cell>
          <cell r="D28" t="str">
            <v>NEW</v>
          </cell>
          <cell r="E28">
            <v>36112</v>
          </cell>
          <cell r="F28">
            <v>15000</v>
          </cell>
          <cell r="G28">
            <v>121</v>
          </cell>
          <cell r="H28">
            <v>0.1074</v>
          </cell>
        </row>
        <row r="29">
          <cell r="A29" t="str">
            <v>AL/FL/TX Metro - J.Barri</v>
          </cell>
          <cell r="B29" t="str">
            <v>G. Equity Loan</v>
          </cell>
          <cell r="C29">
            <v>61264701</v>
          </cell>
          <cell r="D29" t="str">
            <v>ACT</v>
          </cell>
          <cell r="E29">
            <v>36060</v>
          </cell>
          <cell r="F29">
            <v>15000</v>
          </cell>
          <cell r="G29">
            <v>84</v>
          </cell>
          <cell r="H29">
            <v>0.1024</v>
          </cell>
        </row>
        <row r="30">
          <cell r="A30" t="str">
            <v>AL/FL Gulf Community - J.Heslop</v>
          </cell>
          <cell r="B30" t="str">
            <v>G. Equity Loan</v>
          </cell>
          <cell r="C30">
            <v>61189203</v>
          </cell>
          <cell r="D30" t="str">
            <v>ACT</v>
          </cell>
          <cell r="E30">
            <v>36063</v>
          </cell>
          <cell r="F30">
            <v>15000</v>
          </cell>
          <cell r="G30">
            <v>60</v>
          </cell>
          <cell r="H30">
            <v>9.9900000000000003E-2</v>
          </cell>
        </row>
        <row r="31">
          <cell r="A31" t="str">
            <v>AL/FL/TX Metro - J.Barri</v>
          </cell>
          <cell r="B31" t="str">
            <v>G. Equity Loan</v>
          </cell>
          <cell r="C31">
            <v>61258191</v>
          </cell>
          <cell r="D31" t="str">
            <v>ACT</v>
          </cell>
          <cell r="E31">
            <v>36056</v>
          </cell>
          <cell r="F31">
            <v>15000</v>
          </cell>
          <cell r="G31">
            <v>120</v>
          </cell>
          <cell r="H31">
            <v>9.9900000000000003E-2</v>
          </cell>
        </row>
        <row r="32">
          <cell r="A32" t="str">
            <v>AL/FL/TX Metro - J.Barri</v>
          </cell>
          <cell r="B32" t="str">
            <v>G. Equity Loan</v>
          </cell>
          <cell r="C32">
            <v>61311300</v>
          </cell>
          <cell r="D32" t="str">
            <v>NEW</v>
          </cell>
          <cell r="E32">
            <v>36084</v>
          </cell>
          <cell r="F32">
            <v>15000</v>
          </cell>
          <cell r="G32">
            <v>84</v>
          </cell>
          <cell r="H32">
            <v>9.9900000000000003E-2</v>
          </cell>
        </row>
        <row r="33">
          <cell r="A33" t="str">
            <v>AL/FL/TX Metro - J.Barri</v>
          </cell>
          <cell r="B33" t="str">
            <v>G. Equity Loan</v>
          </cell>
          <cell r="C33">
            <v>61268200</v>
          </cell>
          <cell r="D33" t="str">
            <v>CLS</v>
          </cell>
          <cell r="E33">
            <v>36087</v>
          </cell>
          <cell r="F33">
            <v>15000</v>
          </cell>
          <cell r="G33">
            <v>120</v>
          </cell>
          <cell r="H33">
            <v>9.9900000000000003E-2</v>
          </cell>
        </row>
        <row r="34">
          <cell r="A34" t="str">
            <v>AL/FL Gulf Community - J.Heslop</v>
          </cell>
          <cell r="B34" t="str">
            <v>G. Equity Loan</v>
          </cell>
          <cell r="C34">
            <v>61208461</v>
          </cell>
          <cell r="D34" t="str">
            <v>NEW</v>
          </cell>
          <cell r="E34">
            <v>36112</v>
          </cell>
          <cell r="F34">
            <v>15000</v>
          </cell>
          <cell r="G34">
            <v>120</v>
          </cell>
          <cell r="H34">
            <v>9.4899999999999998E-2</v>
          </cell>
        </row>
        <row r="35">
          <cell r="A35" t="str">
            <v>AL/FL Gulf Community - J.Heslop</v>
          </cell>
          <cell r="B35" t="str">
            <v>G. Equity Loan</v>
          </cell>
          <cell r="C35">
            <v>61311076</v>
          </cell>
          <cell r="D35" t="str">
            <v>NEW</v>
          </cell>
          <cell r="E35">
            <v>36095</v>
          </cell>
          <cell r="F35">
            <v>15000</v>
          </cell>
          <cell r="G35">
            <v>120</v>
          </cell>
          <cell r="H35">
            <v>9.4899999999999998E-2</v>
          </cell>
        </row>
        <row r="36">
          <cell r="A36" t="str">
            <v>AL/FL Gulf Community - J.Heslop</v>
          </cell>
          <cell r="B36" t="str">
            <v>G. Equity Loan</v>
          </cell>
          <cell r="C36">
            <v>61310754</v>
          </cell>
          <cell r="D36" t="str">
            <v>NEW</v>
          </cell>
          <cell r="E36">
            <v>36094</v>
          </cell>
          <cell r="F36">
            <v>15000</v>
          </cell>
          <cell r="G36">
            <v>120</v>
          </cell>
          <cell r="H36">
            <v>8.5000000000000006E-2</v>
          </cell>
        </row>
        <row r="37">
          <cell r="A37" t="str">
            <v>AL/FL Gulf Community - J.Heslop</v>
          </cell>
          <cell r="B37" t="str">
            <v>G. Equity Loan</v>
          </cell>
          <cell r="C37">
            <v>61265589</v>
          </cell>
          <cell r="D37" t="str">
            <v>ACT</v>
          </cell>
          <cell r="E37">
            <v>36083</v>
          </cell>
          <cell r="F37">
            <v>15600</v>
          </cell>
          <cell r="G37">
            <v>72</v>
          </cell>
          <cell r="H37">
            <v>9.4899999999999998E-2</v>
          </cell>
        </row>
        <row r="38">
          <cell r="A38" t="str">
            <v>AL/FL/TX Metro - J.Barri</v>
          </cell>
          <cell r="B38" t="str">
            <v>G. Equity Loan</v>
          </cell>
          <cell r="C38">
            <v>61310525</v>
          </cell>
          <cell r="D38" t="str">
            <v>NEW</v>
          </cell>
          <cell r="E38">
            <v>36102</v>
          </cell>
          <cell r="F38">
            <v>16170</v>
          </cell>
          <cell r="G38">
            <v>120</v>
          </cell>
          <cell r="H38">
            <v>9.4899999999999998E-2</v>
          </cell>
        </row>
        <row r="39">
          <cell r="A39" t="str">
            <v>AL/FL/TX Metro - J.Barri</v>
          </cell>
          <cell r="B39" t="str">
            <v>G. Equity Loan</v>
          </cell>
          <cell r="C39">
            <v>61260412</v>
          </cell>
          <cell r="D39" t="str">
            <v>ACT</v>
          </cell>
          <cell r="E39">
            <v>36047</v>
          </cell>
          <cell r="F39">
            <v>17000</v>
          </cell>
          <cell r="G39">
            <v>120</v>
          </cell>
          <cell r="H39">
            <v>0.1099</v>
          </cell>
        </row>
        <row r="40">
          <cell r="A40" t="str">
            <v>AL/FL Gulf Community - J.Heslop</v>
          </cell>
          <cell r="B40" t="str">
            <v>G. Equity Loan</v>
          </cell>
          <cell r="C40">
            <v>61257276</v>
          </cell>
          <cell r="D40" t="str">
            <v>ACT</v>
          </cell>
          <cell r="E40">
            <v>36054</v>
          </cell>
          <cell r="F40">
            <v>17000</v>
          </cell>
          <cell r="G40">
            <v>120</v>
          </cell>
          <cell r="H40">
            <v>9.9900000000000003E-2</v>
          </cell>
        </row>
        <row r="41">
          <cell r="A41" t="str">
            <v>AL/FL/TX Metro - J.Barri</v>
          </cell>
          <cell r="B41" t="str">
            <v>G. Equity Loan</v>
          </cell>
          <cell r="C41">
            <v>61268634</v>
          </cell>
          <cell r="D41" t="str">
            <v>ACT</v>
          </cell>
          <cell r="E41">
            <v>36090</v>
          </cell>
          <cell r="F41">
            <v>17800</v>
          </cell>
          <cell r="G41">
            <v>120</v>
          </cell>
          <cell r="H41">
            <v>0.1024</v>
          </cell>
        </row>
        <row r="42">
          <cell r="A42" t="str">
            <v>AL/FL/TX Metro - J.Barri</v>
          </cell>
          <cell r="B42" t="str">
            <v>G. Equity Loan</v>
          </cell>
          <cell r="C42">
            <v>61264841</v>
          </cell>
          <cell r="D42" t="str">
            <v>ACT</v>
          </cell>
          <cell r="E42">
            <v>36061</v>
          </cell>
          <cell r="F42">
            <v>17900</v>
          </cell>
          <cell r="G42">
            <v>120</v>
          </cell>
          <cell r="H42">
            <v>9.9900000000000003E-2</v>
          </cell>
        </row>
        <row r="43">
          <cell r="A43" t="str">
            <v>AL/FL/TX Metro - J.Barri</v>
          </cell>
          <cell r="B43" t="str">
            <v>G. Equity Loan</v>
          </cell>
          <cell r="C43">
            <v>61309586</v>
          </cell>
          <cell r="D43" t="str">
            <v>NEW</v>
          </cell>
          <cell r="E43">
            <v>36103</v>
          </cell>
          <cell r="F43">
            <v>19750</v>
          </cell>
          <cell r="G43">
            <v>180</v>
          </cell>
          <cell r="H43">
            <v>9.4899999999999998E-2</v>
          </cell>
        </row>
        <row r="44">
          <cell r="A44" t="str">
            <v>AL/FL/TX Metro - J.Barri</v>
          </cell>
          <cell r="B44" t="str">
            <v>G. Equity Loan</v>
          </cell>
          <cell r="C44">
            <v>61290818</v>
          </cell>
          <cell r="D44" t="str">
            <v>NEW</v>
          </cell>
          <cell r="E44">
            <v>36116</v>
          </cell>
          <cell r="F44">
            <v>19900</v>
          </cell>
          <cell r="G44">
            <v>120</v>
          </cell>
          <cell r="H44">
            <v>9.74E-2</v>
          </cell>
        </row>
        <row r="45">
          <cell r="A45" t="str">
            <v>AL/FL/TX Metro - J.Barri</v>
          </cell>
          <cell r="B45" t="str">
            <v>G. Equity Loan</v>
          </cell>
          <cell r="C45">
            <v>61264647</v>
          </cell>
          <cell r="D45" t="str">
            <v>ACT</v>
          </cell>
          <cell r="E45">
            <v>36066</v>
          </cell>
          <cell r="F45">
            <v>20000</v>
          </cell>
          <cell r="G45">
            <v>180</v>
          </cell>
          <cell r="H45">
            <v>9.74E-2</v>
          </cell>
        </row>
        <row r="46">
          <cell r="A46" t="str">
            <v>AL/FL Gulf Community - J.Heslop</v>
          </cell>
          <cell r="B46" t="str">
            <v>G. Equity Loan</v>
          </cell>
          <cell r="C46">
            <v>61307265</v>
          </cell>
          <cell r="D46" t="str">
            <v>NEW</v>
          </cell>
          <cell r="E46">
            <v>36111</v>
          </cell>
          <cell r="F46">
            <v>20000</v>
          </cell>
          <cell r="G46">
            <v>120</v>
          </cell>
          <cell r="H46">
            <v>9.4899999999999998E-2</v>
          </cell>
        </row>
        <row r="47">
          <cell r="A47" t="str">
            <v>AL/FL/TX Metro - J.Barri</v>
          </cell>
          <cell r="B47" t="str">
            <v>G. Equity Loan</v>
          </cell>
          <cell r="C47">
            <v>61258841</v>
          </cell>
          <cell r="D47" t="str">
            <v>ACT</v>
          </cell>
          <cell r="E47">
            <v>36056</v>
          </cell>
          <cell r="F47">
            <v>20000</v>
          </cell>
          <cell r="G47">
            <v>120</v>
          </cell>
          <cell r="H47">
            <v>9.4899999999999998E-2</v>
          </cell>
        </row>
        <row r="48">
          <cell r="A48" t="str">
            <v>AL/FL/TX Metro - J.Barri</v>
          </cell>
          <cell r="B48" t="str">
            <v>G. Equity Loan</v>
          </cell>
          <cell r="C48">
            <v>61266674</v>
          </cell>
          <cell r="D48" t="str">
            <v>ACT</v>
          </cell>
          <cell r="E48">
            <v>36082</v>
          </cell>
          <cell r="F48">
            <v>20000</v>
          </cell>
          <cell r="G48">
            <v>180</v>
          </cell>
          <cell r="H48">
            <v>9.2499999999999999E-2</v>
          </cell>
        </row>
        <row r="49">
          <cell r="A49" t="str">
            <v>AL/FL Gulf Community - J.Heslop</v>
          </cell>
          <cell r="B49" t="str">
            <v>G. Equity Loan</v>
          </cell>
          <cell r="C49">
            <v>61289917</v>
          </cell>
          <cell r="D49" t="str">
            <v>NEW</v>
          </cell>
          <cell r="E49">
            <v>36110</v>
          </cell>
          <cell r="F49">
            <v>20000</v>
          </cell>
          <cell r="G49">
            <v>180</v>
          </cell>
          <cell r="H49">
            <v>8.9899999999999994E-2</v>
          </cell>
        </row>
        <row r="50">
          <cell r="A50" t="str">
            <v>AL/FL/TX Metro - J.Barri</v>
          </cell>
          <cell r="B50" t="str">
            <v>G. Equity Loan</v>
          </cell>
          <cell r="C50">
            <v>61267379</v>
          </cell>
          <cell r="D50" t="str">
            <v>ACT</v>
          </cell>
          <cell r="E50">
            <v>36083</v>
          </cell>
          <cell r="F50">
            <v>20000</v>
          </cell>
          <cell r="G50">
            <v>180</v>
          </cell>
          <cell r="H50">
            <v>8.9899999999999994E-2</v>
          </cell>
        </row>
        <row r="51">
          <cell r="A51" t="str">
            <v>AL/FL/TX Metro - J.Barri</v>
          </cell>
          <cell r="B51" t="str">
            <v>G. Equity Loan</v>
          </cell>
          <cell r="C51">
            <v>61257764</v>
          </cell>
          <cell r="D51" t="str">
            <v>ACT</v>
          </cell>
          <cell r="E51">
            <v>36061</v>
          </cell>
          <cell r="F51">
            <v>20000</v>
          </cell>
          <cell r="G51">
            <v>120</v>
          </cell>
          <cell r="H51">
            <v>8.7400000000000005E-2</v>
          </cell>
        </row>
        <row r="52">
          <cell r="A52" t="str">
            <v>AL/FL/TX Metro - J.Barri</v>
          </cell>
          <cell r="B52" t="str">
            <v>G. Equity Loan</v>
          </cell>
          <cell r="C52">
            <v>61269517</v>
          </cell>
          <cell r="D52" t="str">
            <v>NEW</v>
          </cell>
          <cell r="E52">
            <v>36091</v>
          </cell>
          <cell r="F52">
            <v>20000</v>
          </cell>
          <cell r="G52">
            <v>36</v>
          </cell>
          <cell r="H52">
            <v>8.7400000000000005E-2</v>
          </cell>
        </row>
        <row r="53">
          <cell r="A53" t="str">
            <v>AL/FL Gulf Community - J.Heslop</v>
          </cell>
          <cell r="B53" t="str">
            <v>G. Equity Loan</v>
          </cell>
          <cell r="C53">
            <v>61264787</v>
          </cell>
          <cell r="D53" t="str">
            <v>ACT</v>
          </cell>
          <cell r="E53">
            <v>36059</v>
          </cell>
          <cell r="F53">
            <v>20000</v>
          </cell>
          <cell r="G53">
            <v>120</v>
          </cell>
          <cell r="H53">
            <v>8.4900000000000003E-2</v>
          </cell>
        </row>
        <row r="54">
          <cell r="A54" t="str">
            <v>AL/FL Gulf Community - J.Heslop</v>
          </cell>
          <cell r="B54" t="str">
            <v>G. Equity Loan</v>
          </cell>
          <cell r="C54">
            <v>61289828</v>
          </cell>
          <cell r="D54" t="str">
            <v>NEW</v>
          </cell>
          <cell r="E54">
            <v>36109</v>
          </cell>
          <cell r="F54">
            <v>20000</v>
          </cell>
          <cell r="G54">
            <v>180</v>
          </cell>
          <cell r="H54">
            <v>8.4900000000000003E-2</v>
          </cell>
        </row>
        <row r="55">
          <cell r="A55" t="str">
            <v>AL/FL/TX Metro - J.Barri</v>
          </cell>
          <cell r="B55" t="str">
            <v>G. Equity Loan</v>
          </cell>
          <cell r="C55">
            <v>61258515</v>
          </cell>
          <cell r="D55" t="str">
            <v>ACT</v>
          </cell>
          <cell r="E55">
            <v>36054</v>
          </cell>
          <cell r="F55">
            <v>20000</v>
          </cell>
          <cell r="G55">
            <v>180</v>
          </cell>
          <cell r="H55">
            <v>8.4900000000000003E-2</v>
          </cell>
        </row>
        <row r="56">
          <cell r="A56" t="str">
            <v>AL/FL/TX Metro - J.Barri</v>
          </cell>
          <cell r="B56" t="str">
            <v>G. Equity Loan</v>
          </cell>
          <cell r="C56">
            <v>61264698</v>
          </cell>
          <cell r="D56" t="str">
            <v>ACT</v>
          </cell>
          <cell r="E56">
            <v>36075</v>
          </cell>
          <cell r="F56">
            <v>20000</v>
          </cell>
          <cell r="G56">
            <v>180</v>
          </cell>
          <cell r="H56">
            <v>8.4900000000000003E-2</v>
          </cell>
        </row>
        <row r="57">
          <cell r="A57" t="str">
            <v>AL/FL/TX Metro - J.Barri</v>
          </cell>
          <cell r="B57" t="str">
            <v>G. Equity Loan</v>
          </cell>
          <cell r="C57">
            <v>61309624</v>
          </cell>
          <cell r="D57" t="str">
            <v>NEW</v>
          </cell>
          <cell r="E57">
            <v>36117</v>
          </cell>
          <cell r="F57">
            <v>20000</v>
          </cell>
          <cell r="G57">
            <v>120</v>
          </cell>
          <cell r="H57">
            <v>8.4900000000000003E-2</v>
          </cell>
        </row>
        <row r="58">
          <cell r="A58" t="str">
            <v>AL/FL/TX Metro - J.Barri</v>
          </cell>
          <cell r="B58" t="str">
            <v>G. Equity Loan</v>
          </cell>
          <cell r="C58">
            <v>61267247</v>
          </cell>
          <cell r="D58" t="str">
            <v>ACT</v>
          </cell>
          <cell r="E58">
            <v>36077</v>
          </cell>
          <cell r="F58">
            <v>20000</v>
          </cell>
          <cell r="G58">
            <v>120</v>
          </cell>
          <cell r="H58">
            <v>8.4900000000000003E-2</v>
          </cell>
        </row>
        <row r="59">
          <cell r="A59" t="str">
            <v>AL/FL/TX Metro - J.Barri</v>
          </cell>
          <cell r="B59" t="str">
            <v>G. Equity Loan</v>
          </cell>
          <cell r="C59">
            <v>61268103</v>
          </cell>
          <cell r="D59" t="str">
            <v>ACT</v>
          </cell>
          <cell r="E59">
            <v>36088</v>
          </cell>
          <cell r="F59">
            <v>20000</v>
          </cell>
          <cell r="G59">
            <v>180</v>
          </cell>
          <cell r="H59">
            <v>8.4900000000000003E-2</v>
          </cell>
        </row>
        <row r="60">
          <cell r="A60" t="str">
            <v>AL/FL/TX Metro - J.Barri</v>
          </cell>
          <cell r="B60" t="str">
            <v>G. Equity Loan</v>
          </cell>
          <cell r="C60">
            <v>61265732</v>
          </cell>
          <cell r="D60" t="str">
            <v>ACT</v>
          </cell>
          <cell r="E60">
            <v>36070</v>
          </cell>
          <cell r="F60">
            <v>20000</v>
          </cell>
          <cell r="G60">
            <v>180</v>
          </cell>
          <cell r="H60">
            <v>8.4900000000000003E-2</v>
          </cell>
        </row>
        <row r="61">
          <cell r="A61" t="str">
            <v>AL/FL/TX Metro - J.Barri</v>
          </cell>
          <cell r="B61" t="str">
            <v>G. Equity Loan</v>
          </cell>
          <cell r="C61">
            <v>61310088</v>
          </cell>
          <cell r="D61" t="str">
            <v>NEW</v>
          </cell>
          <cell r="E61">
            <v>36101</v>
          </cell>
          <cell r="F61">
            <v>20000</v>
          </cell>
          <cell r="G61">
            <v>180</v>
          </cell>
          <cell r="H61">
            <v>8.2500000000000004E-2</v>
          </cell>
        </row>
        <row r="62">
          <cell r="A62" t="str">
            <v>AL/FL Gulf Community - J.Heslop</v>
          </cell>
          <cell r="B62" t="str">
            <v>G. Equity Loan</v>
          </cell>
          <cell r="C62">
            <v>61259988</v>
          </cell>
          <cell r="D62" t="str">
            <v>ACT</v>
          </cell>
          <cell r="E62">
            <v>36082</v>
          </cell>
          <cell r="F62">
            <v>20000</v>
          </cell>
          <cell r="G62">
            <v>120</v>
          </cell>
          <cell r="H62">
            <v>8.2400000000000001E-2</v>
          </cell>
        </row>
        <row r="63">
          <cell r="A63" t="str">
            <v>AL/FL/TX Metro - J.Barri</v>
          </cell>
          <cell r="B63" t="str">
            <v>G. Equity Loan</v>
          </cell>
          <cell r="C63">
            <v>61290869</v>
          </cell>
          <cell r="D63" t="str">
            <v>NEW</v>
          </cell>
          <cell r="E63">
            <v>36102</v>
          </cell>
          <cell r="F63">
            <v>20000</v>
          </cell>
          <cell r="G63">
            <v>120</v>
          </cell>
          <cell r="H63">
            <v>8.2400000000000001E-2</v>
          </cell>
        </row>
        <row r="64">
          <cell r="A64" t="str">
            <v>AL/FL/TX Metro - J.Barri</v>
          </cell>
          <cell r="B64" t="str">
            <v>G. Equity Loan</v>
          </cell>
          <cell r="C64">
            <v>61309772</v>
          </cell>
          <cell r="D64" t="str">
            <v>NEW</v>
          </cell>
          <cell r="E64">
            <v>36094</v>
          </cell>
          <cell r="F64">
            <v>20000</v>
          </cell>
          <cell r="G64">
            <v>180</v>
          </cell>
          <cell r="H64">
            <v>8.2400000000000001E-2</v>
          </cell>
        </row>
        <row r="65">
          <cell r="A65" t="str">
            <v>AL/FL/TX Metro - J.Barri</v>
          </cell>
          <cell r="B65" t="str">
            <v>G. Equity Loan</v>
          </cell>
          <cell r="C65">
            <v>61267425</v>
          </cell>
          <cell r="D65" t="str">
            <v>ACT</v>
          </cell>
          <cell r="E65">
            <v>36082</v>
          </cell>
          <cell r="F65">
            <v>20000</v>
          </cell>
          <cell r="G65">
            <v>180</v>
          </cell>
          <cell r="H65">
            <v>8.2400000000000001E-2</v>
          </cell>
        </row>
        <row r="66">
          <cell r="A66" t="str">
            <v>AL/FL/TX Metro - J.Barri</v>
          </cell>
          <cell r="B66" t="str">
            <v>G. Equity Loan</v>
          </cell>
          <cell r="C66">
            <v>61269754</v>
          </cell>
          <cell r="D66" t="str">
            <v>NEW</v>
          </cell>
          <cell r="E66">
            <v>36094</v>
          </cell>
          <cell r="F66">
            <v>20000</v>
          </cell>
          <cell r="G66">
            <v>144</v>
          </cell>
          <cell r="H66">
            <v>8.2400000000000001E-2</v>
          </cell>
        </row>
        <row r="67">
          <cell r="A67" t="str">
            <v>AL/FL Gulf Community - J.Heslop</v>
          </cell>
          <cell r="B67" t="str">
            <v>G. Equity Loan</v>
          </cell>
          <cell r="C67">
            <v>61290648</v>
          </cell>
          <cell r="D67" t="str">
            <v>NEW</v>
          </cell>
          <cell r="E67">
            <v>36111</v>
          </cell>
          <cell r="F67">
            <v>20000</v>
          </cell>
          <cell r="G67">
            <v>180</v>
          </cell>
          <cell r="H67">
            <v>7.9899999999999999E-2</v>
          </cell>
        </row>
        <row r="68">
          <cell r="A68" t="str">
            <v>AL/FL Gulf Community - J.Heslop</v>
          </cell>
          <cell r="B68" t="str">
            <v>G. Equity Loan</v>
          </cell>
          <cell r="C68">
            <v>61307389</v>
          </cell>
          <cell r="D68" t="str">
            <v>NEW</v>
          </cell>
          <cell r="E68">
            <v>36109</v>
          </cell>
          <cell r="F68">
            <v>20000</v>
          </cell>
          <cell r="G68">
            <v>120</v>
          </cell>
          <cell r="H68">
            <v>7.9899999999999999E-2</v>
          </cell>
        </row>
        <row r="69">
          <cell r="A69" t="str">
            <v>AL/FL Gulf Community - J.Heslop</v>
          </cell>
          <cell r="B69" t="str">
            <v>G. Equity Loan</v>
          </cell>
          <cell r="C69">
            <v>61311432</v>
          </cell>
          <cell r="D69" t="str">
            <v>NEW</v>
          </cell>
          <cell r="E69">
            <v>36098</v>
          </cell>
          <cell r="F69">
            <v>20000</v>
          </cell>
          <cell r="G69">
            <v>180</v>
          </cell>
          <cell r="H69">
            <v>7.9899999999999999E-2</v>
          </cell>
        </row>
        <row r="70">
          <cell r="A70" t="str">
            <v>AL/FL Gulf Community - J.Heslop</v>
          </cell>
          <cell r="B70" t="str">
            <v>G. Equity Loan</v>
          </cell>
          <cell r="C70">
            <v>61311548</v>
          </cell>
          <cell r="D70" t="str">
            <v>NEW</v>
          </cell>
          <cell r="E70">
            <v>36101</v>
          </cell>
          <cell r="F70">
            <v>20000</v>
          </cell>
          <cell r="G70">
            <v>180</v>
          </cell>
          <cell r="H70">
            <v>7.9899999999999999E-2</v>
          </cell>
        </row>
        <row r="71">
          <cell r="A71" t="str">
            <v>AL/FL/TX Metro - J.Barri</v>
          </cell>
          <cell r="B71" t="str">
            <v>G. Equity Loan</v>
          </cell>
          <cell r="C71">
            <v>61289984</v>
          </cell>
          <cell r="D71" t="str">
            <v>NEW</v>
          </cell>
          <cell r="E71">
            <v>36101</v>
          </cell>
          <cell r="F71">
            <v>20000</v>
          </cell>
          <cell r="G71">
            <v>42</v>
          </cell>
          <cell r="H71">
            <v>7.9899999999999999E-2</v>
          </cell>
        </row>
        <row r="72">
          <cell r="A72" t="str">
            <v>AL/FL/TX Metro - J.Barri</v>
          </cell>
          <cell r="B72" t="str">
            <v>G. Equity Loan</v>
          </cell>
          <cell r="C72">
            <v>61269282</v>
          </cell>
          <cell r="D72" t="str">
            <v>ACT</v>
          </cell>
          <cell r="E72">
            <v>36096</v>
          </cell>
          <cell r="F72">
            <v>20000</v>
          </cell>
          <cell r="G72">
            <v>84</v>
          </cell>
          <cell r="H72">
            <v>7.9899999999999999E-2</v>
          </cell>
        </row>
        <row r="73">
          <cell r="A73" t="str">
            <v>AL/FL/TX Metro - J.Barri</v>
          </cell>
          <cell r="B73" t="str">
            <v>G. Equity Loan</v>
          </cell>
          <cell r="C73">
            <v>61309675</v>
          </cell>
          <cell r="D73" t="str">
            <v>NEW</v>
          </cell>
          <cell r="E73">
            <v>36106</v>
          </cell>
          <cell r="F73">
            <v>20000</v>
          </cell>
          <cell r="G73">
            <v>60</v>
          </cell>
          <cell r="H73">
            <v>7.9899999999999999E-2</v>
          </cell>
        </row>
        <row r="74">
          <cell r="A74" t="str">
            <v>AL/FL/TX Metro - J.Barri</v>
          </cell>
          <cell r="B74" t="str">
            <v>G. Equity Loan</v>
          </cell>
          <cell r="C74">
            <v>61310711</v>
          </cell>
          <cell r="D74" t="str">
            <v>NEW</v>
          </cell>
          <cell r="E74">
            <v>36104</v>
          </cell>
          <cell r="F74">
            <v>20000</v>
          </cell>
          <cell r="G74">
            <v>180</v>
          </cell>
          <cell r="H74">
            <v>7.9899999999999999E-2</v>
          </cell>
        </row>
        <row r="75">
          <cell r="A75" t="str">
            <v>AL/FL/TX Metro - J.Barri</v>
          </cell>
          <cell r="B75" t="str">
            <v>G. Equity Loan</v>
          </cell>
          <cell r="C75">
            <v>61289836</v>
          </cell>
          <cell r="D75" t="str">
            <v>NEW</v>
          </cell>
          <cell r="E75">
            <v>36111</v>
          </cell>
          <cell r="F75">
            <v>20000</v>
          </cell>
          <cell r="G75">
            <v>180</v>
          </cell>
          <cell r="H75">
            <v>7.9899999999999999E-2</v>
          </cell>
        </row>
        <row r="76">
          <cell r="A76" t="str">
            <v>AL/FL/TX Metro - J.Barri</v>
          </cell>
          <cell r="B76" t="str">
            <v>G. Equity Loan</v>
          </cell>
          <cell r="C76">
            <v>61290141</v>
          </cell>
          <cell r="D76" t="str">
            <v>NEW</v>
          </cell>
          <cell r="E76">
            <v>36111</v>
          </cell>
          <cell r="F76">
            <v>20400</v>
          </cell>
          <cell r="G76">
            <v>180</v>
          </cell>
          <cell r="H76">
            <v>8.4900000000000003E-2</v>
          </cell>
        </row>
        <row r="77">
          <cell r="A77" t="str">
            <v>AL/FL/TX Metro - J.Barri</v>
          </cell>
          <cell r="B77" t="str">
            <v>G. Equity Loan</v>
          </cell>
          <cell r="C77">
            <v>61264728</v>
          </cell>
          <cell r="D77" t="str">
            <v>ACT</v>
          </cell>
          <cell r="E77">
            <v>36060</v>
          </cell>
          <cell r="F77">
            <v>20500</v>
          </cell>
          <cell r="G77">
            <v>60</v>
          </cell>
          <cell r="H77">
            <v>8.4900000000000003E-2</v>
          </cell>
        </row>
        <row r="78">
          <cell r="A78" t="str">
            <v>AL/FL/TX Metro - J.Barri</v>
          </cell>
          <cell r="B78" t="str">
            <v>G. Equity Loan</v>
          </cell>
          <cell r="C78">
            <v>61264833</v>
          </cell>
          <cell r="D78" t="str">
            <v>ACT</v>
          </cell>
          <cell r="E78">
            <v>36062</v>
          </cell>
          <cell r="F78">
            <v>21000</v>
          </cell>
          <cell r="G78">
            <v>180</v>
          </cell>
          <cell r="H78">
            <v>8.4900000000000003E-2</v>
          </cell>
        </row>
        <row r="79">
          <cell r="A79" t="str">
            <v>AL/FL/TX Metro - J.Barri</v>
          </cell>
          <cell r="B79" t="str">
            <v>G. Equity Loan</v>
          </cell>
          <cell r="C79">
            <v>61266941</v>
          </cell>
          <cell r="D79" t="str">
            <v>ACT</v>
          </cell>
          <cell r="E79">
            <v>36082</v>
          </cell>
          <cell r="F79">
            <v>21000</v>
          </cell>
          <cell r="G79">
            <v>180</v>
          </cell>
          <cell r="H79">
            <v>8.4900000000000003E-2</v>
          </cell>
        </row>
        <row r="80">
          <cell r="A80" t="str">
            <v>AL/FL Gulf Community - J.Heslop</v>
          </cell>
          <cell r="B80" t="str">
            <v>G. Equity Loan</v>
          </cell>
          <cell r="C80">
            <v>61268626</v>
          </cell>
          <cell r="D80" t="str">
            <v>ACT</v>
          </cell>
          <cell r="E80">
            <v>36088</v>
          </cell>
          <cell r="F80">
            <v>21000</v>
          </cell>
          <cell r="G80">
            <v>120</v>
          </cell>
          <cell r="H80">
            <v>7.9899999999999999E-2</v>
          </cell>
        </row>
        <row r="81">
          <cell r="A81" t="str">
            <v>AL/FL/TX Metro - J.Barri</v>
          </cell>
          <cell r="B81" t="str">
            <v>G. Equity Loan</v>
          </cell>
          <cell r="C81">
            <v>61290745</v>
          </cell>
          <cell r="D81" t="str">
            <v>NEW</v>
          </cell>
          <cell r="E81">
            <v>36112</v>
          </cell>
          <cell r="F81">
            <v>21000</v>
          </cell>
          <cell r="G81">
            <v>120</v>
          </cell>
          <cell r="H81">
            <v>7.9899999999999999E-2</v>
          </cell>
        </row>
        <row r="82">
          <cell r="A82" t="str">
            <v>AL/FL/TX Metro - J.Barri</v>
          </cell>
          <cell r="B82" t="str">
            <v>G. Equity Loan</v>
          </cell>
          <cell r="C82">
            <v>61268413</v>
          </cell>
          <cell r="D82" t="str">
            <v>ACT</v>
          </cell>
          <cell r="E82">
            <v>36091</v>
          </cell>
          <cell r="F82">
            <v>21060</v>
          </cell>
          <cell r="G82">
            <v>180</v>
          </cell>
          <cell r="H82">
            <v>7.9899999999999999E-2</v>
          </cell>
        </row>
        <row r="83">
          <cell r="A83" t="str">
            <v>AL/FL/TX Metro - J.Barri</v>
          </cell>
          <cell r="B83" t="str">
            <v>G. Equity Loan</v>
          </cell>
          <cell r="C83">
            <v>61258809</v>
          </cell>
          <cell r="D83" t="str">
            <v>ACT</v>
          </cell>
          <cell r="E83">
            <v>36061</v>
          </cell>
          <cell r="F83">
            <v>21300</v>
          </cell>
          <cell r="G83">
            <v>180</v>
          </cell>
          <cell r="H83">
            <v>8.4900000000000003E-2</v>
          </cell>
        </row>
        <row r="84">
          <cell r="A84" t="str">
            <v>AL/FL/TX Metro - J.Barri</v>
          </cell>
          <cell r="B84" t="str">
            <v>G. Equity Loan</v>
          </cell>
          <cell r="C84">
            <v>61309462</v>
          </cell>
          <cell r="D84" t="str">
            <v>NEW</v>
          </cell>
          <cell r="E84">
            <v>36113</v>
          </cell>
          <cell r="F84">
            <v>21300</v>
          </cell>
          <cell r="G84">
            <v>120</v>
          </cell>
          <cell r="H84">
            <v>7.9899999999999999E-2</v>
          </cell>
        </row>
        <row r="85">
          <cell r="A85" t="str">
            <v>AL/FL/TX Metro - J.Barri</v>
          </cell>
          <cell r="B85" t="str">
            <v>G. Equity Loan</v>
          </cell>
          <cell r="C85">
            <v>61309500</v>
          </cell>
          <cell r="D85" t="str">
            <v>NEW</v>
          </cell>
          <cell r="E85">
            <v>36103</v>
          </cell>
          <cell r="F85">
            <v>21700</v>
          </cell>
          <cell r="G85">
            <v>180</v>
          </cell>
          <cell r="H85">
            <v>8.2400000000000001E-2</v>
          </cell>
        </row>
        <row r="86">
          <cell r="A86" t="str">
            <v>AL/FL/TX Metro - J.Barri</v>
          </cell>
          <cell r="B86" t="str">
            <v>G. Equity Loan</v>
          </cell>
          <cell r="C86">
            <v>61258884</v>
          </cell>
          <cell r="D86" t="str">
            <v>ACT</v>
          </cell>
          <cell r="E86">
            <v>36043</v>
          </cell>
          <cell r="F86">
            <v>21900</v>
          </cell>
          <cell r="G86">
            <v>60</v>
          </cell>
          <cell r="H86">
            <v>8.4900000000000003E-2</v>
          </cell>
        </row>
        <row r="87">
          <cell r="A87" t="str">
            <v>AL/FL Gulf Community - J.Heslop</v>
          </cell>
          <cell r="B87" t="str">
            <v>G. Equity Loan</v>
          </cell>
          <cell r="C87">
            <v>61208690</v>
          </cell>
          <cell r="D87" t="str">
            <v>NEW</v>
          </cell>
          <cell r="E87">
            <v>36117</v>
          </cell>
          <cell r="F87">
            <v>22000</v>
          </cell>
          <cell r="G87">
            <v>180</v>
          </cell>
          <cell r="H87">
            <v>8.2400000000000001E-2</v>
          </cell>
        </row>
        <row r="88">
          <cell r="A88" t="str">
            <v>AL/FL Gulf Community - J.Heslop</v>
          </cell>
          <cell r="B88" t="str">
            <v>G. Equity Loan</v>
          </cell>
          <cell r="C88">
            <v>61307540</v>
          </cell>
          <cell r="D88" t="str">
            <v>NEW</v>
          </cell>
          <cell r="E88">
            <v>36113</v>
          </cell>
          <cell r="F88">
            <v>22000</v>
          </cell>
          <cell r="G88">
            <v>121</v>
          </cell>
          <cell r="H88">
            <v>7.9899999999999999E-2</v>
          </cell>
        </row>
        <row r="89">
          <cell r="A89" t="str">
            <v>AL/FL/TX Metro - J.Barri</v>
          </cell>
          <cell r="B89" t="str">
            <v>G. Equity Loan</v>
          </cell>
          <cell r="C89">
            <v>61290850</v>
          </cell>
          <cell r="D89" t="str">
            <v>NEW</v>
          </cell>
          <cell r="E89">
            <v>36111</v>
          </cell>
          <cell r="F89">
            <v>23200</v>
          </cell>
          <cell r="G89">
            <v>180</v>
          </cell>
          <cell r="H89">
            <v>7.9899999999999999E-2</v>
          </cell>
        </row>
        <row r="90">
          <cell r="A90" t="str">
            <v>AL/FL Gulf Community - J.Heslop</v>
          </cell>
          <cell r="B90" t="str">
            <v>G. Equity Loan</v>
          </cell>
          <cell r="C90">
            <v>61258175</v>
          </cell>
          <cell r="D90" t="str">
            <v>ACT</v>
          </cell>
          <cell r="E90">
            <v>36049</v>
          </cell>
          <cell r="F90">
            <v>24000</v>
          </cell>
          <cell r="G90">
            <v>120</v>
          </cell>
          <cell r="H90">
            <v>8.4900000000000003E-2</v>
          </cell>
        </row>
        <row r="91">
          <cell r="A91" t="str">
            <v>AL/FL Gulf Community - J.Heslop</v>
          </cell>
          <cell r="B91" t="str">
            <v>G. Equity Loan</v>
          </cell>
          <cell r="C91">
            <v>61311769</v>
          </cell>
          <cell r="D91" t="str">
            <v>NEW</v>
          </cell>
          <cell r="E91">
            <v>36098</v>
          </cell>
          <cell r="F91">
            <v>24000</v>
          </cell>
          <cell r="G91">
            <v>120</v>
          </cell>
          <cell r="H91">
            <v>7.9899999999999999E-2</v>
          </cell>
        </row>
        <row r="92">
          <cell r="A92" t="str">
            <v>AL/FL/TX Metro - J.Barri</v>
          </cell>
          <cell r="B92" t="str">
            <v>G. Equity Loan</v>
          </cell>
          <cell r="C92">
            <v>61208089</v>
          </cell>
          <cell r="D92" t="str">
            <v>NEW</v>
          </cell>
          <cell r="E92">
            <v>36105</v>
          </cell>
          <cell r="F92">
            <v>24000</v>
          </cell>
          <cell r="G92">
            <v>120</v>
          </cell>
          <cell r="H92">
            <v>7.9899999999999999E-2</v>
          </cell>
        </row>
        <row r="93">
          <cell r="A93" t="str">
            <v>AL/FL Gulf Community - J.Heslop</v>
          </cell>
          <cell r="B93" t="str">
            <v>G. Equity Loan</v>
          </cell>
          <cell r="C93">
            <v>61289763</v>
          </cell>
          <cell r="D93" t="str">
            <v>NEW</v>
          </cell>
          <cell r="E93">
            <v>36076</v>
          </cell>
          <cell r="F93">
            <v>25000</v>
          </cell>
          <cell r="G93">
            <v>60</v>
          </cell>
          <cell r="H93">
            <v>9.9900000000000003E-2</v>
          </cell>
        </row>
        <row r="94">
          <cell r="A94" t="str">
            <v>AL/FL/TX Metro - J.Barri</v>
          </cell>
          <cell r="B94" t="str">
            <v>G. Equity Loan</v>
          </cell>
          <cell r="C94">
            <v>61307397</v>
          </cell>
          <cell r="D94" t="str">
            <v>NEW</v>
          </cell>
          <cell r="E94">
            <v>36111</v>
          </cell>
          <cell r="F94">
            <v>25000</v>
          </cell>
          <cell r="G94">
            <v>180</v>
          </cell>
          <cell r="H94">
            <v>0.09</v>
          </cell>
        </row>
        <row r="95">
          <cell r="A95" t="str">
            <v>AL/FL/TX Metro - J.Barri</v>
          </cell>
          <cell r="B95" t="str">
            <v>G. Equity Loan</v>
          </cell>
          <cell r="C95">
            <v>61310738</v>
          </cell>
          <cell r="D95" t="str">
            <v>NEW</v>
          </cell>
          <cell r="E95">
            <v>36096</v>
          </cell>
          <cell r="F95">
            <v>25000</v>
          </cell>
          <cell r="G95">
            <v>120</v>
          </cell>
          <cell r="H95">
            <v>8.9899999999999994E-2</v>
          </cell>
        </row>
        <row r="96">
          <cell r="A96" t="str">
            <v>AL/FL/TX Metro - J.Barri</v>
          </cell>
          <cell r="B96" t="str">
            <v>G. Equity Loan</v>
          </cell>
          <cell r="C96">
            <v>61208356</v>
          </cell>
          <cell r="D96" t="str">
            <v>ACT</v>
          </cell>
          <cell r="E96">
            <v>36041</v>
          </cell>
          <cell r="F96">
            <v>25000</v>
          </cell>
          <cell r="G96">
            <v>180</v>
          </cell>
          <cell r="H96">
            <v>8.4900000000000003E-2</v>
          </cell>
        </row>
        <row r="97">
          <cell r="A97" t="str">
            <v>AL/FL/TX Metro - J.Barri</v>
          </cell>
          <cell r="B97" t="str">
            <v>G. Equity Loan</v>
          </cell>
          <cell r="C97">
            <v>61267166</v>
          </cell>
          <cell r="D97" t="str">
            <v>ACT</v>
          </cell>
          <cell r="E97">
            <v>36077</v>
          </cell>
          <cell r="F97">
            <v>25000</v>
          </cell>
          <cell r="G97">
            <v>180</v>
          </cell>
          <cell r="H97">
            <v>8.4900000000000003E-2</v>
          </cell>
        </row>
        <row r="98">
          <cell r="A98" t="str">
            <v>AL/FL/TX Metro - J.Barri</v>
          </cell>
          <cell r="B98" t="str">
            <v>G. Equity Loan</v>
          </cell>
          <cell r="C98">
            <v>61265368</v>
          </cell>
          <cell r="D98" t="str">
            <v>ACT</v>
          </cell>
          <cell r="E98">
            <v>36075</v>
          </cell>
          <cell r="F98">
            <v>25000</v>
          </cell>
          <cell r="G98">
            <v>180</v>
          </cell>
          <cell r="H98">
            <v>8.4900000000000003E-2</v>
          </cell>
        </row>
        <row r="99">
          <cell r="A99" t="str">
            <v>AL/FL Gulf Community - J.Heslop</v>
          </cell>
          <cell r="B99" t="str">
            <v>G. Equity Loan</v>
          </cell>
          <cell r="C99">
            <v>61310916</v>
          </cell>
          <cell r="D99" t="str">
            <v>NEW</v>
          </cell>
          <cell r="E99">
            <v>36095</v>
          </cell>
          <cell r="F99">
            <v>25000</v>
          </cell>
          <cell r="G99">
            <v>180</v>
          </cell>
          <cell r="H99">
            <v>8.2400000000000001E-2</v>
          </cell>
        </row>
        <row r="100">
          <cell r="A100" t="str">
            <v>AL/FL/TX Metro - J.Barri</v>
          </cell>
          <cell r="B100" t="str">
            <v>G. Equity Loan</v>
          </cell>
          <cell r="C100">
            <v>61309829</v>
          </cell>
          <cell r="D100" t="str">
            <v>NEW</v>
          </cell>
          <cell r="E100">
            <v>36104</v>
          </cell>
          <cell r="F100">
            <v>25000</v>
          </cell>
          <cell r="G100">
            <v>120</v>
          </cell>
          <cell r="H100">
            <v>8.2400000000000001E-2</v>
          </cell>
        </row>
        <row r="101">
          <cell r="A101" t="str">
            <v>AL/FL Gulf Community - J.Heslop</v>
          </cell>
          <cell r="B101" t="str">
            <v>G. Equity Loan</v>
          </cell>
          <cell r="C101">
            <v>61290133</v>
          </cell>
          <cell r="D101" t="str">
            <v>NEW</v>
          </cell>
          <cell r="E101">
            <v>36108</v>
          </cell>
          <cell r="F101">
            <v>25000</v>
          </cell>
          <cell r="G101">
            <v>96</v>
          </cell>
          <cell r="H101">
            <v>7.9899999999999999E-2</v>
          </cell>
        </row>
        <row r="102">
          <cell r="A102" t="str">
            <v>AL/FL Gulf Community - J.Heslop</v>
          </cell>
          <cell r="B102" t="str">
            <v>G. Equity Loan</v>
          </cell>
          <cell r="C102">
            <v>61307761</v>
          </cell>
          <cell r="D102" t="str">
            <v>NEW</v>
          </cell>
          <cell r="E102">
            <v>36115</v>
          </cell>
          <cell r="F102">
            <v>25000</v>
          </cell>
          <cell r="G102">
            <v>180</v>
          </cell>
          <cell r="H102">
            <v>7.9899999999999999E-2</v>
          </cell>
        </row>
        <row r="103">
          <cell r="A103" t="str">
            <v>AL/FL/TX Metro - J.Barri</v>
          </cell>
          <cell r="B103" t="str">
            <v>G. Equity Loan</v>
          </cell>
          <cell r="C103">
            <v>61265694</v>
          </cell>
          <cell r="D103" t="str">
            <v>ACT</v>
          </cell>
          <cell r="E103">
            <v>36080</v>
          </cell>
          <cell r="F103">
            <v>25000</v>
          </cell>
          <cell r="G103">
            <v>120</v>
          </cell>
          <cell r="H103">
            <v>7.9899999999999999E-2</v>
          </cell>
        </row>
        <row r="104">
          <cell r="A104" t="str">
            <v>AL/FL/TX Metro - J.Barri</v>
          </cell>
          <cell r="B104" t="str">
            <v>G. Equity Loan</v>
          </cell>
          <cell r="C104">
            <v>61208631</v>
          </cell>
          <cell r="D104" t="str">
            <v>NEW</v>
          </cell>
          <cell r="E104">
            <v>36105</v>
          </cell>
          <cell r="F104">
            <v>25000</v>
          </cell>
          <cell r="G104">
            <v>120</v>
          </cell>
          <cell r="H104">
            <v>7.9899999999999999E-2</v>
          </cell>
        </row>
        <row r="105">
          <cell r="A105" t="str">
            <v>AL/FL/TX Metro - J.Barri</v>
          </cell>
          <cell r="B105" t="str">
            <v>G. Equity Loan</v>
          </cell>
          <cell r="C105">
            <v>61307494</v>
          </cell>
          <cell r="D105" t="str">
            <v>NEW</v>
          </cell>
          <cell r="E105">
            <v>36116</v>
          </cell>
          <cell r="F105">
            <v>25000</v>
          </cell>
          <cell r="G105">
            <v>120</v>
          </cell>
          <cell r="H105">
            <v>7.9899999999999999E-2</v>
          </cell>
        </row>
        <row r="106">
          <cell r="A106" t="str">
            <v>AL/FL/TX Metro - J.Barri</v>
          </cell>
          <cell r="B106" t="str">
            <v>G. Equity Loan</v>
          </cell>
          <cell r="C106">
            <v>61310304</v>
          </cell>
          <cell r="D106" t="str">
            <v>NEW</v>
          </cell>
          <cell r="E106">
            <v>36102</v>
          </cell>
          <cell r="F106">
            <v>25000</v>
          </cell>
          <cell r="G106">
            <v>180</v>
          </cell>
          <cell r="H106">
            <v>7.9899999999999999E-2</v>
          </cell>
        </row>
        <row r="107">
          <cell r="A107" t="str">
            <v>AL/FL/TX Metro - J.Barri</v>
          </cell>
          <cell r="B107" t="str">
            <v>G. Equity Loan</v>
          </cell>
          <cell r="C107">
            <v>61310398</v>
          </cell>
          <cell r="D107" t="str">
            <v>NEW</v>
          </cell>
          <cell r="E107">
            <v>36105</v>
          </cell>
          <cell r="F107">
            <v>25000</v>
          </cell>
          <cell r="G107">
            <v>120</v>
          </cell>
          <cell r="H107">
            <v>7.9899999999999999E-2</v>
          </cell>
        </row>
        <row r="108">
          <cell r="A108" t="str">
            <v>AL/FL/TX Metro - J.Barri</v>
          </cell>
          <cell r="B108" t="str">
            <v>G. Equity Loan</v>
          </cell>
          <cell r="C108">
            <v>61310479</v>
          </cell>
          <cell r="D108" t="str">
            <v>NEW</v>
          </cell>
          <cell r="E108">
            <v>36102</v>
          </cell>
          <cell r="F108">
            <v>25000</v>
          </cell>
          <cell r="G108">
            <v>180</v>
          </cell>
          <cell r="H108">
            <v>7.9899999999999999E-2</v>
          </cell>
        </row>
        <row r="109">
          <cell r="A109" t="str">
            <v>AL/FL Gulf Community - J.Heslop</v>
          </cell>
          <cell r="B109" t="str">
            <v>G. Equity Loan</v>
          </cell>
          <cell r="C109">
            <v>61310819</v>
          </cell>
          <cell r="D109" t="str">
            <v>NEW</v>
          </cell>
          <cell r="E109">
            <v>36101</v>
          </cell>
          <cell r="F109">
            <v>25000</v>
          </cell>
          <cell r="G109">
            <v>180</v>
          </cell>
          <cell r="H109">
            <v>7.2499999999999995E-2</v>
          </cell>
        </row>
        <row r="110">
          <cell r="A110" t="str">
            <v>AL/FL/TX Metro - J.Barri</v>
          </cell>
          <cell r="B110" t="str">
            <v>G. Equity Loan</v>
          </cell>
          <cell r="C110">
            <v>61289909</v>
          </cell>
          <cell r="D110" t="str">
            <v>NEW</v>
          </cell>
          <cell r="E110">
            <v>36111</v>
          </cell>
          <cell r="F110">
            <v>25000</v>
          </cell>
          <cell r="G110">
            <v>181</v>
          </cell>
          <cell r="H110">
            <v>7.2499999999999995E-2</v>
          </cell>
        </row>
        <row r="111">
          <cell r="A111" t="str">
            <v>AL/FL/TX Metro - J.Barri</v>
          </cell>
          <cell r="B111" t="str">
            <v>G. Equity Loan</v>
          </cell>
          <cell r="C111">
            <v>61268472</v>
          </cell>
          <cell r="D111" t="str">
            <v>ACT</v>
          </cell>
          <cell r="E111">
            <v>36087</v>
          </cell>
          <cell r="F111">
            <v>25000</v>
          </cell>
          <cell r="G111">
            <v>60</v>
          </cell>
          <cell r="H111">
            <v>7.2499999999999995E-2</v>
          </cell>
        </row>
        <row r="112">
          <cell r="A112" t="str">
            <v>AL/FL/TX Metro - J.Barri</v>
          </cell>
          <cell r="B112" t="str">
            <v>G. Equity Loan</v>
          </cell>
          <cell r="C112">
            <v>61309837</v>
          </cell>
          <cell r="D112" t="str">
            <v>NEW</v>
          </cell>
          <cell r="E112">
            <v>36118</v>
          </cell>
          <cell r="F112">
            <v>25200</v>
          </cell>
          <cell r="G112">
            <v>180</v>
          </cell>
          <cell r="H112">
            <v>7.9899999999999999E-2</v>
          </cell>
        </row>
        <row r="113">
          <cell r="A113" t="str">
            <v>AL/FL/TX Metro - J.Barri</v>
          </cell>
          <cell r="B113" t="str">
            <v>G. Equity Loan</v>
          </cell>
          <cell r="C113">
            <v>61309306</v>
          </cell>
          <cell r="D113" t="str">
            <v>NEW</v>
          </cell>
          <cell r="E113">
            <v>36115</v>
          </cell>
          <cell r="F113">
            <v>25300</v>
          </cell>
          <cell r="G113">
            <v>180</v>
          </cell>
          <cell r="H113">
            <v>7.9899999999999999E-2</v>
          </cell>
        </row>
        <row r="114">
          <cell r="A114" t="str">
            <v>AL/FL/TX Metro - J.Barri</v>
          </cell>
          <cell r="B114" t="str">
            <v>G. Equity Loan</v>
          </cell>
          <cell r="C114">
            <v>61265007</v>
          </cell>
          <cell r="D114" t="str">
            <v>ACT</v>
          </cell>
          <cell r="E114">
            <v>36063</v>
          </cell>
          <cell r="F114">
            <v>25400</v>
          </cell>
          <cell r="G114">
            <v>120</v>
          </cell>
          <cell r="H114">
            <v>8.4900000000000003E-2</v>
          </cell>
        </row>
        <row r="115">
          <cell r="A115" t="str">
            <v>AL/FL Gulf Community - J.Heslop</v>
          </cell>
          <cell r="B115" t="str">
            <v>G. Equity Loan</v>
          </cell>
          <cell r="C115">
            <v>61311866</v>
          </cell>
          <cell r="D115" t="str">
            <v>NEW</v>
          </cell>
          <cell r="E115">
            <v>36091</v>
          </cell>
          <cell r="F115">
            <v>25650</v>
          </cell>
          <cell r="G115">
            <v>180</v>
          </cell>
          <cell r="H115">
            <v>8.9899999999999994E-2</v>
          </cell>
        </row>
        <row r="116">
          <cell r="A116" t="str">
            <v>AL/FL/TX Metro - J.Barri</v>
          </cell>
          <cell r="B116" t="str">
            <v>G. Equity Loan</v>
          </cell>
          <cell r="C116">
            <v>61259244</v>
          </cell>
          <cell r="D116" t="str">
            <v>ACT</v>
          </cell>
          <cell r="E116">
            <v>36053</v>
          </cell>
          <cell r="F116">
            <v>26000</v>
          </cell>
          <cell r="G116">
            <v>180</v>
          </cell>
          <cell r="H116">
            <v>8.4900000000000003E-2</v>
          </cell>
        </row>
        <row r="117">
          <cell r="A117" t="str">
            <v>AL/FL/TX Metro - J.Barri</v>
          </cell>
          <cell r="B117" t="str">
            <v>G. Equity Loan</v>
          </cell>
          <cell r="C117">
            <v>61311017</v>
          </cell>
          <cell r="D117" t="str">
            <v>NEW</v>
          </cell>
          <cell r="E117">
            <v>36102</v>
          </cell>
          <cell r="F117">
            <v>26200</v>
          </cell>
          <cell r="G117">
            <v>180</v>
          </cell>
          <cell r="H117">
            <v>9.2399999999999996E-2</v>
          </cell>
        </row>
        <row r="118">
          <cell r="A118" t="str">
            <v>AL/FL/TX Metro - J.Barri</v>
          </cell>
          <cell r="B118" t="str">
            <v>G. Equity Loan</v>
          </cell>
          <cell r="C118">
            <v>61311807</v>
          </cell>
          <cell r="D118" t="str">
            <v>NEW</v>
          </cell>
          <cell r="E118">
            <v>36098</v>
          </cell>
          <cell r="F118">
            <v>26200</v>
          </cell>
          <cell r="G118">
            <v>180</v>
          </cell>
          <cell r="H118">
            <v>8.2400000000000001E-2</v>
          </cell>
        </row>
        <row r="119">
          <cell r="A119" t="str">
            <v>AL/FL Gulf Community - J.Heslop</v>
          </cell>
          <cell r="B119" t="str">
            <v>G. Equity Loan</v>
          </cell>
          <cell r="C119">
            <v>61265686</v>
          </cell>
          <cell r="D119" t="str">
            <v>ACT</v>
          </cell>
          <cell r="E119">
            <v>36073</v>
          </cell>
          <cell r="F119">
            <v>26500</v>
          </cell>
          <cell r="G119">
            <v>180</v>
          </cell>
          <cell r="H119">
            <v>8.4900000000000003E-2</v>
          </cell>
        </row>
        <row r="120">
          <cell r="A120" t="str">
            <v>AL/FL Gulf Community - J.Heslop</v>
          </cell>
          <cell r="B120" t="str">
            <v>G. Equity Loan</v>
          </cell>
          <cell r="C120">
            <v>61258728</v>
          </cell>
          <cell r="D120" t="str">
            <v>ACT</v>
          </cell>
          <cell r="E120">
            <v>36049</v>
          </cell>
          <cell r="F120">
            <v>27000</v>
          </cell>
          <cell r="G120">
            <v>180</v>
          </cell>
          <cell r="H120">
            <v>8.4900000000000003E-2</v>
          </cell>
        </row>
        <row r="121">
          <cell r="A121" t="str">
            <v>AL/FL Gulf Community - J.Heslop</v>
          </cell>
          <cell r="B121" t="str">
            <v>G. Equity Loan</v>
          </cell>
          <cell r="C121">
            <v>61269541</v>
          </cell>
          <cell r="D121" t="str">
            <v>NEW</v>
          </cell>
          <cell r="E121">
            <v>36090</v>
          </cell>
          <cell r="F121">
            <v>27200</v>
          </cell>
          <cell r="G121">
            <v>180</v>
          </cell>
          <cell r="H121">
            <v>7.9899999999999999E-2</v>
          </cell>
        </row>
        <row r="122">
          <cell r="A122" t="str">
            <v>AL/FL/TX Metro - J.Barri</v>
          </cell>
          <cell r="B122" t="str">
            <v>G. Equity Loan</v>
          </cell>
          <cell r="C122">
            <v>61267417</v>
          </cell>
          <cell r="D122" t="str">
            <v>ACT</v>
          </cell>
          <cell r="E122">
            <v>36075</v>
          </cell>
          <cell r="F122">
            <v>27309</v>
          </cell>
          <cell r="G122">
            <v>120</v>
          </cell>
          <cell r="H122">
            <v>8.2400000000000001E-2</v>
          </cell>
        </row>
        <row r="123">
          <cell r="A123" t="str">
            <v>AL/FL/TX Metro - J.Barri</v>
          </cell>
          <cell r="B123" t="str">
            <v>G. Equity Loan</v>
          </cell>
          <cell r="C123">
            <v>61258698</v>
          </cell>
          <cell r="D123" t="str">
            <v>ACT</v>
          </cell>
          <cell r="E123">
            <v>36056</v>
          </cell>
          <cell r="F123">
            <v>27500</v>
          </cell>
          <cell r="G123">
            <v>180</v>
          </cell>
          <cell r="H123">
            <v>8.4900000000000003E-2</v>
          </cell>
        </row>
        <row r="124">
          <cell r="A124" t="str">
            <v>AL/FL/TX Metro - J.Barri</v>
          </cell>
          <cell r="B124" t="str">
            <v>G. Equity Loan</v>
          </cell>
          <cell r="C124">
            <v>61258000</v>
          </cell>
          <cell r="D124" t="str">
            <v>ACT</v>
          </cell>
          <cell r="E124">
            <v>36046</v>
          </cell>
          <cell r="F124">
            <v>27500</v>
          </cell>
          <cell r="G124">
            <v>36</v>
          </cell>
          <cell r="H124">
            <v>8.4900000000000003E-2</v>
          </cell>
        </row>
        <row r="125">
          <cell r="A125" t="str">
            <v>AL/FL/TX Metro - J.Barri</v>
          </cell>
          <cell r="B125" t="str">
            <v>G. Equity Loan</v>
          </cell>
          <cell r="C125">
            <v>61310746</v>
          </cell>
          <cell r="D125" t="str">
            <v>NEW</v>
          </cell>
          <cell r="E125">
            <v>36090</v>
          </cell>
          <cell r="F125">
            <v>27500</v>
          </cell>
          <cell r="G125">
            <v>120</v>
          </cell>
          <cell r="H125">
            <v>8.2400000000000001E-2</v>
          </cell>
        </row>
        <row r="126">
          <cell r="A126" t="str">
            <v>AL/FL/TX Metro - J.Barri</v>
          </cell>
          <cell r="B126" t="str">
            <v>G. Equity Loan</v>
          </cell>
          <cell r="C126">
            <v>61311297</v>
          </cell>
          <cell r="D126" t="str">
            <v>NEW</v>
          </cell>
          <cell r="E126">
            <v>36095</v>
          </cell>
          <cell r="F126">
            <v>28000</v>
          </cell>
          <cell r="G126">
            <v>180</v>
          </cell>
          <cell r="H126">
            <v>8.2400000000000001E-2</v>
          </cell>
        </row>
        <row r="127">
          <cell r="A127" t="str">
            <v>AL/FL/TX Metro - J.Barri</v>
          </cell>
          <cell r="B127" t="str">
            <v>G. Equity Loan</v>
          </cell>
          <cell r="C127">
            <v>61267204</v>
          </cell>
          <cell r="D127" t="str">
            <v>ACT</v>
          </cell>
          <cell r="E127">
            <v>36083</v>
          </cell>
          <cell r="F127">
            <v>29160</v>
          </cell>
          <cell r="G127">
            <v>72</v>
          </cell>
          <cell r="H127">
            <v>7.9899999999999999E-2</v>
          </cell>
        </row>
        <row r="128">
          <cell r="A128" t="str">
            <v>AL/FL/TX Metro - J.Barri</v>
          </cell>
          <cell r="B128" t="str">
            <v>G. Equity Loan</v>
          </cell>
          <cell r="C128">
            <v>61259597</v>
          </cell>
          <cell r="D128" t="str">
            <v>ACT</v>
          </cell>
          <cell r="E128">
            <v>36040</v>
          </cell>
          <cell r="F128">
            <v>30000</v>
          </cell>
          <cell r="G128">
            <v>120</v>
          </cell>
          <cell r="H128">
            <v>8.7400000000000005E-2</v>
          </cell>
        </row>
        <row r="129">
          <cell r="A129" t="str">
            <v>AL/FL/TX Metro - J.Barri</v>
          </cell>
          <cell r="B129" t="str">
            <v>G. Equity Loan</v>
          </cell>
          <cell r="C129">
            <v>61258620</v>
          </cell>
          <cell r="D129" t="str">
            <v>ACT</v>
          </cell>
          <cell r="E129">
            <v>36055</v>
          </cell>
          <cell r="F129">
            <v>30000</v>
          </cell>
          <cell r="G129">
            <v>180</v>
          </cell>
          <cell r="H129">
            <v>8.4900000000000003E-2</v>
          </cell>
        </row>
        <row r="130">
          <cell r="A130" t="str">
            <v>AL/FL/TX Metro - J.Barri</v>
          </cell>
          <cell r="B130" t="str">
            <v>G. Equity Loan</v>
          </cell>
          <cell r="C130">
            <v>61265376</v>
          </cell>
          <cell r="D130" t="str">
            <v>ACT</v>
          </cell>
          <cell r="E130">
            <v>36060</v>
          </cell>
          <cell r="F130">
            <v>30000</v>
          </cell>
          <cell r="G130">
            <v>120</v>
          </cell>
          <cell r="H130">
            <v>8.4900000000000003E-2</v>
          </cell>
        </row>
        <row r="131">
          <cell r="A131" t="str">
            <v>AL/FL/TX Metro - J.Barri</v>
          </cell>
          <cell r="B131" t="str">
            <v>G. Equity Loan</v>
          </cell>
          <cell r="C131">
            <v>61258140</v>
          </cell>
          <cell r="D131" t="str">
            <v>ACT</v>
          </cell>
          <cell r="E131">
            <v>36040</v>
          </cell>
          <cell r="F131">
            <v>30000</v>
          </cell>
          <cell r="G131">
            <v>180</v>
          </cell>
          <cell r="H131">
            <v>8.4900000000000003E-2</v>
          </cell>
        </row>
        <row r="132">
          <cell r="A132" t="str">
            <v>AL/FL/TX Metro - J.Barri</v>
          </cell>
          <cell r="B132" t="str">
            <v>G. Equity Loan</v>
          </cell>
          <cell r="C132">
            <v>61310452</v>
          </cell>
          <cell r="D132" t="str">
            <v>NEW</v>
          </cell>
          <cell r="E132">
            <v>36104</v>
          </cell>
          <cell r="F132">
            <v>30000</v>
          </cell>
          <cell r="G132">
            <v>180</v>
          </cell>
          <cell r="H132">
            <v>8.2500000000000004E-2</v>
          </cell>
        </row>
        <row r="133">
          <cell r="A133" t="str">
            <v>AL/FL Gulf Community - J.Heslop</v>
          </cell>
          <cell r="B133" t="str">
            <v>G. Equity Loan</v>
          </cell>
          <cell r="C133">
            <v>61290281</v>
          </cell>
          <cell r="D133" t="str">
            <v>NEW</v>
          </cell>
          <cell r="E133">
            <v>36108</v>
          </cell>
          <cell r="F133">
            <v>30000</v>
          </cell>
          <cell r="G133">
            <v>180</v>
          </cell>
          <cell r="H133">
            <v>7.9899999999999999E-2</v>
          </cell>
        </row>
        <row r="134">
          <cell r="A134" t="str">
            <v>AL/FL Gulf Community - J.Heslop</v>
          </cell>
          <cell r="B134" t="str">
            <v>G. Equity Loan</v>
          </cell>
          <cell r="C134">
            <v>61307435</v>
          </cell>
          <cell r="D134" t="str">
            <v>NEW</v>
          </cell>
          <cell r="E134">
            <v>36101</v>
          </cell>
          <cell r="F134">
            <v>30000</v>
          </cell>
          <cell r="G134">
            <v>180</v>
          </cell>
          <cell r="H134">
            <v>7.9899999999999999E-2</v>
          </cell>
        </row>
        <row r="135">
          <cell r="A135" t="str">
            <v>AL/FL/TX Metro - J.Barri</v>
          </cell>
          <cell r="B135" t="str">
            <v>G. Equity Loan</v>
          </cell>
          <cell r="C135">
            <v>61265570</v>
          </cell>
          <cell r="D135" t="str">
            <v>ACT</v>
          </cell>
          <cell r="E135">
            <v>36074</v>
          </cell>
          <cell r="F135">
            <v>30000</v>
          </cell>
          <cell r="G135">
            <v>120</v>
          </cell>
          <cell r="H135">
            <v>7.9899999999999999E-2</v>
          </cell>
        </row>
        <row r="136">
          <cell r="A136" t="str">
            <v>AL/FL/TX Metro - J.Barri</v>
          </cell>
          <cell r="B136" t="str">
            <v>G. Equity Loan</v>
          </cell>
          <cell r="C136">
            <v>61268375</v>
          </cell>
          <cell r="D136" t="str">
            <v>ACT</v>
          </cell>
          <cell r="E136">
            <v>36088</v>
          </cell>
          <cell r="F136">
            <v>30000</v>
          </cell>
          <cell r="G136">
            <v>180</v>
          </cell>
          <cell r="H136">
            <v>7.9899999999999999E-2</v>
          </cell>
        </row>
        <row r="137">
          <cell r="A137" t="str">
            <v>AL/FL/TX Metro - J.Barri</v>
          </cell>
          <cell r="B137" t="str">
            <v>G. Equity Loan</v>
          </cell>
          <cell r="C137">
            <v>61310924</v>
          </cell>
          <cell r="D137" t="str">
            <v>NEW</v>
          </cell>
          <cell r="E137">
            <v>36097</v>
          </cell>
          <cell r="F137">
            <v>30000</v>
          </cell>
          <cell r="G137">
            <v>60</v>
          </cell>
          <cell r="H137">
            <v>7.2499999999999995E-2</v>
          </cell>
        </row>
        <row r="138">
          <cell r="A138" t="str">
            <v>AL/FL/TX Metro - J.Barri</v>
          </cell>
          <cell r="B138" t="str">
            <v>G. Equity Loan</v>
          </cell>
          <cell r="C138">
            <v>61264744</v>
          </cell>
          <cell r="D138" t="str">
            <v>ACT</v>
          </cell>
          <cell r="E138">
            <v>36067</v>
          </cell>
          <cell r="F138">
            <v>31000</v>
          </cell>
          <cell r="G138">
            <v>180</v>
          </cell>
          <cell r="H138">
            <v>8.9899999999999994E-2</v>
          </cell>
        </row>
        <row r="139">
          <cell r="A139" t="str">
            <v>AL/FL/TX Metro - J.Barri</v>
          </cell>
          <cell r="B139" t="str">
            <v>G. Equity Loan</v>
          </cell>
          <cell r="C139">
            <v>61259929</v>
          </cell>
          <cell r="D139" t="str">
            <v>ACT</v>
          </cell>
          <cell r="E139">
            <v>36084</v>
          </cell>
          <cell r="F139">
            <v>31000</v>
          </cell>
          <cell r="G139">
            <v>180</v>
          </cell>
          <cell r="H139">
            <v>7.9899999999999999E-2</v>
          </cell>
        </row>
        <row r="140">
          <cell r="A140" t="str">
            <v>AL/FL/TX Metro - J.Barri</v>
          </cell>
          <cell r="B140" t="str">
            <v>G. Equity Loan</v>
          </cell>
          <cell r="C140">
            <v>61268758</v>
          </cell>
          <cell r="D140" t="str">
            <v>NEW</v>
          </cell>
          <cell r="E140">
            <v>36096</v>
          </cell>
          <cell r="F140">
            <v>31000</v>
          </cell>
          <cell r="G140">
            <v>110</v>
          </cell>
          <cell r="H140">
            <v>7.9899999999999999E-2</v>
          </cell>
        </row>
        <row r="141">
          <cell r="A141" t="str">
            <v>AL/FL/TX Metro - J.Barri</v>
          </cell>
          <cell r="B141" t="str">
            <v>G. Equity Loan</v>
          </cell>
          <cell r="C141">
            <v>61269495</v>
          </cell>
          <cell r="D141" t="str">
            <v>ACT</v>
          </cell>
          <cell r="E141">
            <v>36090</v>
          </cell>
          <cell r="F141">
            <v>31700</v>
          </cell>
          <cell r="G141">
            <v>180</v>
          </cell>
          <cell r="H141">
            <v>7.4999999999999997E-2</v>
          </cell>
        </row>
        <row r="142">
          <cell r="A142" t="str">
            <v>AL/FL/TX Metro - J.Barri</v>
          </cell>
          <cell r="B142" t="str">
            <v>G. Equity Loan</v>
          </cell>
          <cell r="C142">
            <v>61265546</v>
          </cell>
          <cell r="D142" t="str">
            <v>ACT</v>
          </cell>
          <cell r="E142">
            <v>36069</v>
          </cell>
          <cell r="F142">
            <v>32000</v>
          </cell>
          <cell r="G142">
            <v>120</v>
          </cell>
          <cell r="H142">
            <v>8.7400000000000005E-2</v>
          </cell>
        </row>
        <row r="143">
          <cell r="A143" t="str">
            <v>AL/FL/TX Metro - J.Barri</v>
          </cell>
          <cell r="B143" t="str">
            <v>G. Equity Loan</v>
          </cell>
          <cell r="C143">
            <v>61289658</v>
          </cell>
          <cell r="D143" t="str">
            <v>NEW</v>
          </cell>
          <cell r="E143">
            <v>36101</v>
          </cell>
          <cell r="F143">
            <v>32550</v>
          </cell>
          <cell r="G143">
            <v>180</v>
          </cell>
          <cell r="H143">
            <v>7.2499999999999995E-2</v>
          </cell>
        </row>
        <row r="144">
          <cell r="A144" t="str">
            <v>AL/FL/TX Metro - J.Barri</v>
          </cell>
          <cell r="B144" t="str">
            <v>G. Equity Loan</v>
          </cell>
          <cell r="C144">
            <v>61257942</v>
          </cell>
          <cell r="D144" t="str">
            <v>ACT</v>
          </cell>
          <cell r="E144">
            <v>36047</v>
          </cell>
          <cell r="F144">
            <v>33000</v>
          </cell>
          <cell r="G144">
            <v>180</v>
          </cell>
          <cell r="H144">
            <v>8.4900000000000003E-2</v>
          </cell>
        </row>
        <row r="145">
          <cell r="A145" t="str">
            <v>AL/FL/TX Metro - J.Barri</v>
          </cell>
          <cell r="B145" t="str">
            <v>G. Equity Loan</v>
          </cell>
          <cell r="C145">
            <v>61311351</v>
          </cell>
          <cell r="D145" t="str">
            <v>NEW</v>
          </cell>
          <cell r="E145">
            <v>36098</v>
          </cell>
          <cell r="F145">
            <v>33000</v>
          </cell>
          <cell r="G145">
            <v>180</v>
          </cell>
          <cell r="H145">
            <v>8.4900000000000003E-2</v>
          </cell>
        </row>
        <row r="146">
          <cell r="A146" t="str">
            <v>AL/FL/TX Metro - J.Barri</v>
          </cell>
          <cell r="B146" t="str">
            <v>G. Equity Loan</v>
          </cell>
          <cell r="C146">
            <v>61265252</v>
          </cell>
          <cell r="D146" t="str">
            <v>ACT</v>
          </cell>
          <cell r="E146">
            <v>36077</v>
          </cell>
          <cell r="F146">
            <v>33000</v>
          </cell>
          <cell r="G146">
            <v>180</v>
          </cell>
          <cell r="H146">
            <v>8.4900000000000003E-2</v>
          </cell>
        </row>
        <row r="147">
          <cell r="A147" t="str">
            <v>AL/FL/TX Metro - J.Barri</v>
          </cell>
          <cell r="B147" t="str">
            <v>G. Equity Loan</v>
          </cell>
          <cell r="C147">
            <v>61258825</v>
          </cell>
          <cell r="D147" t="str">
            <v>ACT</v>
          </cell>
          <cell r="E147">
            <v>36049</v>
          </cell>
          <cell r="F147">
            <v>33429</v>
          </cell>
          <cell r="G147">
            <v>180</v>
          </cell>
          <cell r="H147">
            <v>8.5000000000000006E-2</v>
          </cell>
        </row>
        <row r="148">
          <cell r="A148" t="str">
            <v>AL/FL/TX Metro - J.Barri</v>
          </cell>
          <cell r="B148" t="str">
            <v>G. Equity Loan</v>
          </cell>
          <cell r="C148">
            <v>61208070</v>
          </cell>
          <cell r="D148" t="str">
            <v>NEW</v>
          </cell>
          <cell r="E148">
            <v>36115</v>
          </cell>
          <cell r="F148">
            <v>33600</v>
          </cell>
          <cell r="G148">
            <v>180</v>
          </cell>
          <cell r="H148">
            <v>7.9899999999999999E-2</v>
          </cell>
        </row>
        <row r="149">
          <cell r="A149" t="str">
            <v>AL/FL/TX Metro - J.Barri</v>
          </cell>
          <cell r="B149" t="str">
            <v>G. Equity Loan</v>
          </cell>
          <cell r="C149">
            <v>61312021</v>
          </cell>
          <cell r="D149" t="str">
            <v>NEW</v>
          </cell>
          <cell r="E149">
            <v>36098</v>
          </cell>
          <cell r="F149">
            <v>33667</v>
          </cell>
          <cell r="G149">
            <v>180</v>
          </cell>
          <cell r="H149">
            <v>8.2400000000000001E-2</v>
          </cell>
        </row>
        <row r="150">
          <cell r="A150" t="str">
            <v>AL/FL/TX Metro - J.Barri</v>
          </cell>
          <cell r="B150" t="str">
            <v>G. Equity Loan</v>
          </cell>
          <cell r="C150">
            <v>61266771</v>
          </cell>
          <cell r="D150" t="str">
            <v>ACT</v>
          </cell>
          <cell r="E150">
            <v>36081</v>
          </cell>
          <cell r="F150">
            <v>33700</v>
          </cell>
          <cell r="G150">
            <v>180</v>
          </cell>
          <cell r="H150">
            <v>8.4900000000000003E-2</v>
          </cell>
        </row>
        <row r="151">
          <cell r="A151" t="str">
            <v>AL/FL/TX Metro - J.Barri</v>
          </cell>
          <cell r="B151" t="str">
            <v>G. Equity Loan</v>
          </cell>
          <cell r="C151">
            <v>61311386</v>
          </cell>
          <cell r="D151" t="str">
            <v>NEW</v>
          </cell>
          <cell r="E151">
            <v>36097</v>
          </cell>
          <cell r="F151">
            <v>34800</v>
          </cell>
          <cell r="G151">
            <v>180</v>
          </cell>
          <cell r="H151">
            <v>8.4900000000000003E-2</v>
          </cell>
        </row>
        <row r="152">
          <cell r="A152" t="str">
            <v>AL/FL/TX Metro - J.Barri</v>
          </cell>
          <cell r="B152" t="str">
            <v>G. Equity Loan</v>
          </cell>
          <cell r="C152">
            <v>61265317</v>
          </cell>
          <cell r="D152" t="str">
            <v>ACT</v>
          </cell>
          <cell r="E152">
            <v>36062</v>
          </cell>
          <cell r="F152">
            <v>35000</v>
          </cell>
          <cell r="G152">
            <v>180</v>
          </cell>
          <cell r="H152">
            <v>8.9899999999999994E-2</v>
          </cell>
        </row>
        <row r="153">
          <cell r="A153" t="str">
            <v>AL/FL/TX Metro - J.Barri</v>
          </cell>
          <cell r="B153" t="str">
            <v>G. Equity Loan</v>
          </cell>
          <cell r="C153">
            <v>61265457</v>
          </cell>
          <cell r="D153" t="str">
            <v>ACT</v>
          </cell>
          <cell r="E153">
            <v>36075</v>
          </cell>
          <cell r="F153">
            <v>35000</v>
          </cell>
          <cell r="G153">
            <v>120</v>
          </cell>
          <cell r="H153">
            <v>8.4900000000000003E-2</v>
          </cell>
        </row>
        <row r="154">
          <cell r="A154" t="str">
            <v>AL/FL/TX Metro - J.Barri</v>
          </cell>
          <cell r="B154" t="str">
            <v>G. Equity Loan</v>
          </cell>
          <cell r="C154">
            <v>61259376</v>
          </cell>
          <cell r="D154" t="str">
            <v>ACT</v>
          </cell>
          <cell r="E154">
            <v>36039</v>
          </cell>
          <cell r="F154">
            <v>35000</v>
          </cell>
          <cell r="G154">
            <v>180</v>
          </cell>
          <cell r="H154">
            <v>8.4699999999999998E-2</v>
          </cell>
        </row>
        <row r="155">
          <cell r="A155" t="str">
            <v>AL/FL/TX Metro - J.Barri</v>
          </cell>
          <cell r="B155" t="str">
            <v>G. Equity Loan</v>
          </cell>
          <cell r="C155">
            <v>61268782</v>
          </cell>
          <cell r="D155" t="str">
            <v>ACT</v>
          </cell>
          <cell r="E155">
            <v>36089</v>
          </cell>
          <cell r="F155">
            <v>35000</v>
          </cell>
          <cell r="G155">
            <v>180</v>
          </cell>
          <cell r="H155">
            <v>8.2400000000000001E-2</v>
          </cell>
        </row>
        <row r="156">
          <cell r="A156" t="str">
            <v>AL/FL Gulf Community - J.Heslop</v>
          </cell>
          <cell r="B156" t="str">
            <v>G. Equity Loan</v>
          </cell>
          <cell r="C156">
            <v>61289844</v>
          </cell>
          <cell r="D156" t="str">
            <v>NEW</v>
          </cell>
          <cell r="E156">
            <v>36105</v>
          </cell>
          <cell r="F156">
            <v>35000</v>
          </cell>
          <cell r="G156">
            <v>180</v>
          </cell>
          <cell r="H156">
            <v>7.9899999999999999E-2</v>
          </cell>
        </row>
        <row r="157">
          <cell r="A157" t="str">
            <v>AL/FL/TX Metro - J.Barri</v>
          </cell>
          <cell r="B157" t="str">
            <v>G. Equity Loan</v>
          </cell>
          <cell r="C157">
            <v>61311246</v>
          </cell>
          <cell r="D157" t="str">
            <v>NEW</v>
          </cell>
          <cell r="E157">
            <v>36096</v>
          </cell>
          <cell r="F157">
            <v>36000</v>
          </cell>
          <cell r="G157">
            <v>180</v>
          </cell>
          <cell r="H157">
            <v>7.9899999999999999E-2</v>
          </cell>
        </row>
        <row r="158">
          <cell r="A158" t="str">
            <v>AL/FL/TX Metro - J.Barri</v>
          </cell>
          <cell r="B158" t="str">
            <v>G. Equity Loan</v>
          </cell>
          <cell r="C158">
            <v>61309853</v>
          </cell>
          <cell r="D158" t="str">
            <v>NEW</v>
          </cell>
          <cell r="E158">
            <v>36102</v>
          </cell>
          <cell r="F158">
            <v>37000</v>
          </cell>
          <cell r="G158">
            <v>180</v>
          </cell>
          <cell r="H158">
            <v>7.9899999999999999E-2</v>
          </cell>
        </row>
        <row r="159">
          <cell r="A159" t="str">
            <v>AL/FL/TX Metro - J.Barri</v>
          </cell>
          <cell r="B159" t="str">
            <v>G. Equity Loan</v>
          </cell>
          <cell r="C159">
            <v>61310797</v>
          </cell>
          <cell r="D159" t="str">
            <v>NEW</v>
          </cell>
          <cell r="E159">
            <v>36096</v>
          </cell>
          <cell r="F159">
            <v>37500</v>
          </cell>
          <cell r="G159">
            <v>180</v>
          </cell>
          <cell r="H159">
            <v>8.2400000000000001E-2</v>
          </cell>
        </row>
        <row r="160">
          <cell r="A160" t="str">
            <v>AL/FL/TX Metro - J.Barri</v>
          </cell>
          <cell r="B160" t="str">
            <v>G. Equity Loan</v>
          </cell>
          <cell r="C160">
            <v>61268243</v>
          </cell>
          <cell r="D160" t="str">
            <v>NEW</v>
          </cell>
          <cell r="E160">
            <v>36084</v>
          </cell>
          <cell r="F160">
            <v>38000</v>
          </cell>
          <cell r="G160">
            <v>180</v>
          </cell>
          <cell r="H160">
            <v>7.4999999999999997E-2</v>
          </cell>
        </row>
        <row r="161">
          <cell r="A161" t="str">
            <v>AL/FL/TX Metro - J.Barri</v>
          </cell>
          <cell r="B161" t="str">
            <v>G. Equity Loan</v>
          </cell>
          <cell r="C161">
            <v>61259546</v>
          </cell>
          <cell r="D161" t="str">
            <v>ACT</v>
          </cell>
          <cell r="E161">
            <v>36039</v>
          </cell>
          <cell r="F161">
            <v>39800</v>
          </cell>
          <cell r="G161">
            <v>180</v>
          </cell>
          <cell r="H161">
            <v>8.4900000000000003E-2</v>
          </cell>
        </row>
        <row r="162">
          <cell r="A162" t="str">
            <v>AL/FL/TX Metro - J.Barri</v>
          </cell>
          <cell r="B162" t="str">
            <v>G. Equity Loan</v>
          </cell>
          <cell r="C162">
            <v>61208453</v>
          </cell>
          <cell r="D162" t="str">
            <v>ACT</v>
          </cell>
          <cell r="E162">
            <v>36040</v>
          </cell>
          <cell r="F162">
            <v>40000</v>
          </cell>
          <cell r="G162">
            <v>180</v>
          </cell>
          <cell r="H162">
            <v>8.5000000000000006E-2</v>
          </cell>
        </row>
        <row r="163">
          <cell r="A163" t="str">
            <v>AL/FL/TX Metro - J.Barri</v>
          </cell>
          <cell r="B163" t="str">
            <v>G. Equity Loan</v>
          </cell>
          <cell r="C163">
            <v>61269223</v>
          </cell>
          <cell r="D163" t="str">
            <v>ACT</v>
          </cell>
          <cell r="E163">
            <v>36091</v>
          </cell>
          <cell r="F163">
            <v>40000</v>
          </cell>
          <cell r="G163">
            <v>180</v>
          </cell>
          <cell r="H163">
            <v>8.2500000000000004E-2</v>
          </cell>
        </row>
        <row r="164">
          <cell r="A164" t="str">
            <v>AL/FL/TX Metro - J.Barri</v>
          </cell>
          <cell r="B164" t="str">
            <v>G. Equity Loan</v>
          </cell>
          <cell r="C164">
            <v>61266844</v>
          </cell>
          <cell r="D164" t="str">
            <v>ACT</v>
          </cell>
          <cell r="E164">
            <v>36080</v>
          </cell>
          <cell r="F164">
            <v>40000</v>
          </cell>
          <cell r="G164">
            <v>180</v>
          </cell>
          <cell r="H164">
            <v>8.2400000000000001E-2</v>
          </cell>
        </row>
        <row r="165">
          <cell r="A165" t="str">
            <v>AL/FL Gulf Community - J.Heslop</v>
          </cell>
          <cell r="B165" t="str">
            <v>G. Equity Loan</v>
          </cell>
          <cell r="C165">
            <v>61257756</v>
          </cell>
          <cell r="D165" t="str">
            <v>ACT</v>
          </cell>
          <cell r="E165">
            <v>36056</v>
          </cell>
          <cell r="F165">
            <v>40000</v>
          </cell>
          <cell r="G165">
            <v>180</v>
          </cell>
          <cell r="H165">
            <v>7.9899999999999999E-2</v>
          </cell>
        </row>
        <row r="166">
          <cell r="A166" t="str">
            <v>AL/FL Gulf Community - J.Heslop</v>
          </cell>
          <cell r="B166" t="str">
            <v>G. Equity Loan</v>
          </cell>
          <cell r="C166">
            <v>61264779</v>
          </cell>
          <cell r="D166" t="str">
            <v>ACT</v>
          </cell>
          <cell r="E166">
            <v>36066</v>
          </cell>
          <cell r="F166">
            <v>40000</v>
          </cell>
          <cell r="G166">
            <v>180</v>
          </cell>
          <cell r="H166">
            <v>7.9899999999999999E-2</v>
          </cell>
        </row>
        <row r="167">
          <cell r="A167" t="str">
            <v>AL/FL/TX Metro - J.Barri</v>
          </cell>
          <cell r="B167" t="str">
            <v>G. Equity Loan</v>
          </cell>
          <cell r="C167">
            <v>61258906</v>
          </cell>
          <cell r="D167" t="str">
            <v>ACT</v>
          </cell>
          <cell r="E167">
            <v>36055</v>
          </cell>
          <cell r="F167">
            <v>40000</v>
          </cell>
          <cell r="G167">
            <v>180</v>
          </cell>
          <cell r="H167">
            <v>7.9899999999999999E-2</v>
          </cell>
        </row>
        <row r="168">
          <cell r="A168" t="str">
            <v>AL/FL/TX Metro - J.Barri</v>
          </cell>
          <cell r="B168" t="str">
            <v>G. Equity Loan</v>
          </cell>
          <cell r="C168">
            <v>61258051</v>
          </cell>
          <cell r="D168" t="str">
            <v>ACT</v>
          </cell>
          <cell r="E168">
            <v>36048</v>
          </cell>
          <cell r="F168">
            <v>40000</v>
          </cell>
          <cell r="G168">
            <v>180</v>
          </cell>
          <cell r="H168">
            <v>7.9899999999999999E-2</v>
          </cell>
        </row>
        <row r="169">
          <cell r="A169" t="str">
            <v>AL/FL/TX Metro - J.Barri</v>
          </cell>
          <cell r="B169" t="str">
            <v>G. Equity Loan</v>
          </cell>
          <cell r="C169">
            <v>61259120</v>
          </cell>
          <cell r="D169" t="str">
            <v>ACT</v>
          </cell>
          <cell r="E169">
            <v>36054</v>
          </cell>
          <cell r="F169">
            <v>40000</v>
          </cell>
          <cell r="G169">
            <v>180</v>
          </cell>
          <cell r="H169">
            <v>7.9899999999999999E-2</v>
          </cell>
        </row>
        <row r="170">
          <cell r="A170" t="str">
            <v>AL/FL/TX Metro - J.Barri</v>
          </cell>
          <cell r="B170" t="str">
            <v>G. Equity Loan</v>
          </cell>
          <cell r="C170">
            <v>61265155</v>
          </cell>
          <cell r="D170" t="str">
            <v>ACT</v>
          </cell>
          <cell r="E170">
            <v>36067</v>
          </cell>
          <cell r="F170">
            <v>40000</v>
          </cell>
          <cell r="G170">
            <v>180</v>
          </cell>
          <cell r="H170">
            <v>7.9899999999999999E-2</v>
          </cell>
        </row>
        <row r="171">
          <cell r="A171" t="str">
            <v>AL/FL/TX Metro - J.Barri</v>
          </cell>
          <cell r="B171" t="str">
            <v>G. Equity Loan</v>
          </cell>
          <cell r="C171">
            <v>61258957</v>
          </cell>
          <cell r="D171" t="str">
            <v>ACT</v>
          </cell>
          <cell r="E171">
            <v>36060</v>
          </cell>
          <cell r="F171">
            <v>40000</v>
          </cell>
          <cell r="G171">
            <v>180</v>
          </cell>
          <cell r="H171">
            <v>7.9899999999999999E-2</v>
          </cell>
        </row>
        <row r="172">
          <cell r="A172" t="str">
            <v>AL/FL/TX Metro - J.Barri</v>
          </cell>
          <cell r="B172" t="str">
            <v>G. Equity Loan</v>
          </cell>
          <cell r="C172">
            <v>61257640</v>
          </cell>
          <cell r="D172" t="str">
            <v>ACT</v>
          </cell>
          <cell r="E172">
            <v>36062</v>
          </cell>
          <cell r="F172">
            <v>40000</v>
          </cell>
          <cell r="G172">
            <v>60</v>
          </cell>
          <cell r="H172">
            <v>7.9899999999999999E-2</v>
          </cell>
        </row>
        <row r="173">
          <cell r="A173" t="str">
            <v>AL/FL/TX Metro - J.Barri</v>
          </cell>
          <cell r="B173" t="str">
            <v>G. Equity Loan</v>
          </cell>
          <cell r="C173">
            <v>61257594</v>
          </cell>
          <cell r="D173" t="str">
            <v>ACT</v>
          </cell>
          <cell r="E173">
            <v>36061</v>
          </cell>
          <cell r="F173">
            <v>40000</v>
          </cell>
          <cell r="G173">
            <v>180</v>
          </cell>
          <cell r="H173">
            <v>7.9899999999999999E-2</v>
          </cell>
        </row>
        <row r="174">
          <cell r="A174" t="str">
            <v>AL/FL/TX Metro - J.Barri</v>
          </cell>
          <cell r="B174" t="str">
            <v>G. Equity Loan</v>
          </cell>
          <cell r="C174">
            <v>61257470</v>
          </cell>
          <cell r="D174" t="str">
            <v>ACT</v>
          </cell>
          <cell r="E174">
            <v>36040</v>
          </cell>
          <cell r="F174">
            <v>40000</v>
          </cell>
          <cell r="G174">
            <v>180</v>
          </cell>
          <cell r="H174">
            <v>7.9899999999999999E-2</v>
          </cell>
        </row>
        <row r="175">
          <cell r="A175" t="str">
            <v>AL/FL/TX Metro - J.Barri</v>
          </cell>
          <cell r="B175" t="str">
            <v>G. Equity Loan</v>
          </cell>
          <cell r="C175">
            <v>61267344</v>
          </cell>
          <cell r="D175" t="str">
            <v>ACT</v>
          </cell>
          <cell r="E175">
            <v>36084</v>
          </cell>
          <cell r="F175">
            <v>40000</v>
          </cell>
          <cell r="G175">
            <v>180</v>
          </cell>
          <cell r="H175">
            <v>7.9899999999999999E-2</v>
          </cell>
        </row>
        <row r="176">
          <cell r="A176" t="str">
            <v>AL/FL/TX Metro - J.Barri</v>
          </cell>
          <cell r="B176" t="str">
            <v>G. Equity Loan</v>
          </cell>
          <cell r="C176">
            <v>61265511</v>
          </cell>
          <cell r="D176" t="str">
            <v>ACT</v>
          </cell>
          <cell r="E176">
            <v>36074</v>
          </cell>
          <cell r="F176">
            <v>40000</v>
          </cell>
          <cell r="G176">
            <v>180</v>
          </cell>
          <cell r="H176">
            <v>7.9899999999999999E-2</v>
          </cell>
        </row>
        <row r="177">
          <cell r="A177" t="str">
            <v>AL/FL/TX Metro - J.Barri</v>
          </cell>
          <cell r="B177" t="str">
            <v>G. Equity Loan</v>
          </cell>
          <cell r="C177">
            <v>61265597</v>
          </cell>
          <cell r="D177" t="str">
            <v>ACT</v>
          </cell>
          <cell r="E177">
            <v>36059</v>
          </cell>
          <cell r="F177">
            <v>40000</v>
          </cell>
          <cell r="G177">
            <v>180</v>
          </cell>
          <cell r="H177">
            <v>7.9899999999999999E-2</v>
          </cell>
        </row>
        <row r="178">
          <cell r="A178" t="str">
            <v>AL/FL/TX Metro - J.Barri</v>
          </cell>
          <cell r="B178" t="str">
            <v>G. Equity Loan</v>
          </cell>
          <cell r="C178">
            <v>61269657</v>
          </cell>
          <cell r="D178" t="str">
            <v>ACT</v>
          </cell>
          <cell r="E178">
            <v>36090</v>
          </cell>
          <cell r="F178">
            <v>40000</v>
          </cell>
          <cell r="G178">
            <v>180</v>
          </cell>
          <cell r="H178">
            <v>7.9899999999999999E-2</v>
          </cell>
        </row>
        <row r="179">
          <cell r="A179" t="str">
            <v>AL/FL/TX Metro - J.Barri</v>
          </cell>
          <cell r="B179" t="str">
            <v>G. Equity Loan</v>
          </cell>
          <cell r="C179">
            <v>61309454</v>
          </cell>
          <cell r="D179" t="str">
            <v>NEW</v>
          </cell>
          <cell r="E179">
            <v>36103</v>
          </cell>
          <cell r="F179">
            <v>40000</v>
          </cell>
          <cell r="G179">
            <v>180</v>
          </cell>
          <cell r="H179">
            <v>7.4999999999999997E-2</v>
          </cell>
        </row>
        <row r="180">
          <cell r="A180" t="str">
            <v>AL/FL Gulf Community - J.Heslop</v>
          </cell>
          <cell r="B180" t="str">
            <v>G. Equity Loan</v>
          </cell>
          <cell r="C180">
            <v>61265066</v>
          </cell>
          <cell r="D180" t="str">
            <v>ACT</v>
          </cell>
          <cell r="E180">
            <v>36069</v>
          </cell>
          <cell r="F180">
            <v>40000</v>
          </cell>
          <cell r="G180">
            <v>120</v>
          </cell>
          <cell r="H180">
            <v>7.2499999999999995E-2</v>
          </cell>
        </row>
        <row r="181">
          <cell r="A181" t="str">
            <v>AL/FL Gulf Community - J.Heslop</v>
          </cell>
          <cell r="B181" t="str">
            <v>G. Equity Loan</v>
          </cell>
          <cell r="C181">
            <v>61269142</v>
          </cell>
          <cell r="D181" t="str">
            <v>NEW</v>
          </cell>
          <cell r="E181">
            <v>36095</v>
          </cell>
          <cell r="F181">
            <v>40000</v>
          </cell>
          <cell r="G181">
            <v>180</v>
          </cell>
          <cell r="H181">
            <v>7.2499999999999995E-2</v>
          </cell>
        </row>
        <row r="182">
          <cell r="A182" t="str">
            <v>AL/FL Gulf Community - J.Heslop</v>
          </cell>
          <cell r="B182" t="str">
            <v>G. Equity Loan</v>
          </cell>
          <cell r="C182">
            <v>61310142</v>
          </cell>
          <cell r="D182" t="str">
            <v>NEW</v>
          </cell>
          <cell r="E182">
            <v>36097</v>
          </cell>
          <cell r="F182">
            <v>40000</v>
          </cell>
          <cell r="G182">
            <v>180</v>
          </cell>
          <cell r="H182">
            <v>7.2499999999999995E-2</v>
          </cell>
        </row>
        <row r="183">
          <cell r="A183" t="str">
            <v>AL/FL Gulf Community - J.Heslop</v>
          </cell>
          <cell r="B183" t="str">
            <v>G. Equity Loan</v>
          </cell>
          <cell r="C183">
            <v>61311122</v>
          </cell>
          <cell r="D183" t="str">
            <v>NEW</v>
          </cell>
          <cell r="E183">
            <v>36098</v>
          </cell>
          <cell r="F183">
            <v>40000</v>
          </cell>
          <cell r="G183">
            <v>180</v>
          </cell>
          <cell r="H183">
            <v>7.2499999999999995E-2</v>
          </cell>
        </row>
        <row r="184">
          <cell r="A184" t="str">
            <v>AL/FL Gulf Community - J.Heslop</v>
          </cell>
          <cell r="B184" t="str">
            <v>G. Equity Loan</v>
          </cell>
          <cell r="C184">
            <v>61289720</v>
          </cell>
          <cell r="D184" t="str">
            <v>NEW</v>
          </cell>
          <cell r="E184">
            <v>36103</v>
          </cell>
          <cell r="F184">
            <v>40000</v>
          </cell>
          <cell r="G184">
            <v>180</v>
          </cell>
          <cell r="H184">
            <v>7.2499999999999995E-2</v>
          </cell>
        </row>
        <row r="185">
          <cell r="A185" t="str">
            <v>AL/FL Gulf Community - J.Heslop</v>
          </cell>
          <cell r="B185" t="str">
            <v>G. Equity Loan</v>
          </cell>
          <cell r="C185">
            <v>61269606</v>
          </cell>
          <cell r="D185" t="str">
            <v>NEW</v>
          </cell>
          <cell r="E185">
            <v>36090</v>
          </cell>
          <cell r="F185">
            <v>40000</v>
          </cell>
          <cell r="G185">
            <v>180</v>
          </cell>
          <cell r="H185">
            <v>7.2499999999999995E-2</v>
          </cell>
        </row>
        <row r="186">
          <cell r="A186" t="str">
            <v>AL/FL/TX Metro - J.Barri</v>
          </cell>
          <cell r="B186" t="str">
            <v>G. Equity Loan</v>
          </cell>
          <cell r="C186">
            <v>61267530</v>
          </cell>
          <cell r="D186" t="str">
            <v>ACT</v>
          </cell>
          <cell r="E186">
            <v>36083</v>
          </cell>
          <cell r="F186">
            <v>40000</v>
          </cell>
          <cell r="G186">
            <v>180</v>
          </cell>
          <cell r="H186">
            <v>7.2499999999999995E-2</v>
          </cell>
        </row>
        <row r="187">
          <cell r="A187" t="str">
            <v>AL/FL/TX Metro - J.Barri</v>
          </cell>
          <cell r="B187" t="str">
            <v>G. Equity Loan</v>
          </cell>
          <cell r="C187">
            <v>61265198</v>
          </cell>
          <cell r="D187" t="str">
            <v>ACT</v>
          </cell>
          <cell r="E187">
            <v>36076</v>
          </cell>
          <cell r="F187">
            <v>40000</v>
          </cell>
          <cell r="G187">
            <v>180</v>
          </cell>
          <cell r="H187">
            <v>7.2499999999999995E-2</v>
          </cell>
        </row>
        <row r="188">
          <cell r="A188" t="str">
            <v>AL/FL/TX Metro - J.Barri</v>
          </cell>
          <cell r="B188" t="str">
            <v>G. Equity Loan</v>
          </cell>
          <cell r="C188">
            <v>61290303</v>
          </cell>
          <cell r="D188" t="str">
            <v>NEW</v>
          </cell>
          <cell r="E188">
            <v>36108</v>
          </cell>
          <cell r="F188">
            <v>40000</v>
          </cell>
          <cell r="G188">
            <v>180</v>
          </cell>
          <cell r="H188">
            <v>7.2499999999999995E-2</v>
          </cell>
        </row>
        <row r="189">
          <cell r="A189" t="str">
            <v>AL/FL/TX Metro - J.Barri</v>
          </cell>
          <cell r="B189" t="str">
            <v>G. Equity Loan</v>
          </cell>
          <cell r="C189">
            <v>61208410</v>
          </cell>
          <cell r="D189" t="str">
            <v>NEW</v>
          </cell>
          <cell r="E189">
            <v>36115</v>
          </cell>
          <cell r="F189">
            <v>40000</v>
          </cell>
          <cell r="G189">
            <v>180</v>
          </cell>
          <cell r="H189">
            <v>7.2499999999999995E-2</v>
          </cell>
        </row>
        <row r="190">
          <cell r="A190" t="str">
            <v>AL/FL/TX Metro - J.Barri</v>
          </cell>
          <cell r="B190" t="str">
            <v>G. Equity Loan</v>
          </cell>
          <cell r="C190">
            <v>61311416</v>
          </cell>
          <cell r="D190" t="str">
            <v>NEW</v>
          </cell>
          <cell r="E190">
            <v>36098</v>
          </cell>
          <cell r="F190">
            <v>40000</v>
          </cell>
          <cell r="G190">
            <v>120</v>
          </cell>
          <cell r="H190">
            <v>7.2499999999999995E-2</v>
          </cell>
        </row>
        <row r="191">
          <cell r="A191" t="str">
            <v>AL/FL/TX Metro - J.Barri</v>
          </cell>
          <cell r="B191" t="str">
            <v>G. Equity Loan</v>
          </cell>
          <cell r="C191">
            <v>61310843</v>
          </cell>
          <cell r="D191" t="str">
            <v>NEW</v>
          </cell>
          <cell r="E191">
            <v>36095</v>
          </cell>
          <cell r="F191">
            <v>40000</v>
          </cell>
          <cell r="G191">
            <v>180</v>
          </cell>
          <cell r="H191">
            <v>7.2499999999999995E-2</v>
          </cell>
        </row>
        <row r="192">
          <cell r="A192" t="str">
            <v>AL/FL/TX Metro - J.Barri</v>
          </cell>
          <cell r="B192" t="str">
            <v>G. Equity Loan</v>
          </cell>
          <cell r="C192">
            <v>61267190</v>
          </cell>
          <cell r="D192" t="str">
            <v>ACT</v>
          </cell>
          <cell r="E192">
            <v>36076</v>
          </cell>
          <cell r="F192">
            <v>40000</v>
          </cell>
          <cell r="G192">
            <v>180</v>
          </cell>
          <cell r="H192">
            <v>7.2499999999999995E-2</v>
          </cell>
        </row>
        <row r="193">
          <cell r="A193" t="str">
            <v>AL/FL/TX Metro - J.Barri</v>
          </cell>
          <cell r="B193" t="str">
            <v>G. Equity Loan</v>
          </cell>
          <cell r="C193">
            <v>61267484</v>
          </cell>
          <cell r="D193" t="str">
            <v>ACT</v>
          </cell>
          <cell r="E193">
            <v>36083</v>
          </cell>
          <cell r="F193">
            <v>40000</v>
          </cell>
          <cell r="G193">
            <v>180</v>
          </cell>
          <cell r="H193">
            <v>7.2499999999999995E-2</v>
          </cell>
        </row>
        <row r="194">
          <cell r="A194" t="str">
            <v>AL/FL/TX Metro - J.Barri</v>
          </cell>
          <cell r="B194" t="str">
            <v>G. Equity Loan</v>
          </cell>
          <cell r="C194">
            <v>61267581</v>
          </cell>
          <cell r="D194" t="str">
            <v>ACT</v>
          </cell>
          <cell r="E194">
            <v>36080</v>
          </cell>
          <cell r="F194">
            <v>40000</v>
          </cell>
          <cell r="G194">
            <v>180</v>
          </cell>
          <cell r="H194">
            <v>7.2499999999999995E-2</v>
          </cell>
        </row>
        <row r="195">
          <cell r="A195" t="str">
            <v>AL/FL/TX Metro - J.Barri</v>
          </cell>
          <cell r="B195" t="str">
            <v>G. Equity Loan</v>
          </cell>
          <cell r="C195">
            <v>61268723</v>
          </cell>
          <cell r="D195" t="str">
            <v>ACT</v>
          </cell>
          <cell r="E195">
            <v>36090</v>
          </cell>
          <cell r="F195">
            <v>40000</v>
          </cell>
          <cell r="G195">
            <v>180</v>
          </cell>
          <cell r="H195">
            <v>7.2499999999999995E-2</v>
          </cell>
        </row>
        <row r="196">
          <cell r="A196" t="str">
            <v>AL/FL/TX Metro - J.Barri</v>
          </cell>
          <cell r="B196" t="str">
            <v>G. Equity Loan</v>
          </cell>
          <cell r="C196">
            <v>61268480</v>
          </cell>
          <cell r="D196" t="str">
            <v>ACT</v>
          </cell>
          <cell r="E196">
            <v>36087</v>
          </cell>
          <cell r="F196">
            <v>40000</v>
          </cell>
          <cell r="G196">
            <v>120</v>
          </cell>
          <cell r="H196">
            <v>7.2499999999999995E-2</v>
          </cell>
        </row>
        <row r="197">
          <cell r="A197" t="str">
            <v>AL/FL/TX Metro - J.Barri</v>
          </cell>
          <cell r="B197" t="str">
            <v>G. Equity Loan</v>
          </cell>
          <cell r="C197">
            <v>61269711</v>
          </cell>
          <cell r="D197" t="str">
            <v>ACT</v>
          </cell>
          <cell r="E197">
            <v>36087</v>
          </cell>
          <cell r="F197">
            <v>40300</v>
          </cell>
          <cell r="G197">
            <v>180</v>
          </cell>
          <cell r="H197">
            <v>7.4999999999999997E-2</v>
          </cell>
        </row>
        <row r="198">
          <cell r="A198" t="str">
            <v>AL/FL/TX Metro - J.Barri</v>
          </cell>
          <cell r="B198" t="str">
            <v>G. Equity Loan</v>
          </cell>
          <cell r="C198">
            <v>61307338</v>
          </cell>
          <cell r="D198" t="str">
            <v>NEW</v>
          </cell>
          <cell r="E198">
            <v>36112</v>
          </cell>
          <cell r="F198">
            <v>40813.230000000003</v>
          </cell>
          <cell r="G198">
            <v>180</v>
          </cell>
          <cell r="H198">
            <v>7.2499999999999995E-2</v>
          </cell>
        </row>
        <row r="199">
          <cell r="A199" t="str">
            <v>AL/FL/TX Metro - J.Barri</v>
          </cell>
          <cell r="B199" t="str">
            <v>G. Equity Loan</v>
          </cell>
          <cell r="C199">
            <v>61258256</v>
          </cell>
          <cell r="D199" t="str">
            <v>ACT</v>
          </cell>
          <cell r="E199">
            <v>36052</v>
          </cell>
          <cell r="F199">
            <v>41000</v>
          </cell>
          <cell r="G199">
            <v>60</v>
          </cell>
          <cell r="H199">
            <v>7.9899999999999999E-2</v>
          </cell>
        </row>
        <row r="200">
          <cell r="A200" t="str">
            <v>AL/FL/TX Metro - J.Barri</v>
          </cell>
          <cell r="B200" t="str">
            <v>G. Equity Loan</v>
          </cell>
          <cell r="C200">
            <v>61259171</v>
          </cell>
          <cell r="D200" t="str">
            <v>ACT</v>
          </cell>
          <cell r="E200">
            <v>36052</v>
          </cell>
          <cell r="F200">
            <v>41000</v>
          </cell>
          <cell r="G200">
            <v>180</v>
          </cell>
          <cell r="H200">
            <v>7.9899999999999999E-2</v>
          </cell>
        </row>
        <row r="201">
          <cell r="A201" t="str">
            <v>AL/FL/TX Metro - J.Barri</v>
          </cell>
          <cell r="B201" t="str">
            <v>G. Equity Loan</v>
          </cell>
          <cell r="C201">
            <v>61257322</v>
          </cell>
          <cell r="D201" t="str">
            <v>ACT</v>
          </cell>
          <cell r="E201">
            <v>36059</v>
          </cell>
          <cell r="F201">
            <v>41000</v>
          </cell>
          <cell r="G201">
            <v>180</v>
          </cell>
          <cell r="H201">
            <v>7.9899999999999999E-2</v>
          </cell>
        </row>
        <row r="202">
          <cell r="A202" t="str">
            <v>AL/FL Gulf Community - J.Heslop</v>
          </cell>
          <cell r="B202" t="str">
            <v>G. Equity Loan</v>
          </cell>
          <cell r="C202">
            <v>61290095</v>
          </cell>
          <cell r="D202" t="str">
            <v>NEW</v>
          </cell>
          <cell r="E202">
            <v>36106</v>
          </cell>
          <cell r="F202">
            <v>41000</v>
          </cell>
          <cell r="G202">
            <v>96</v>
          </cell>
          <cell r="H202">
            <v>7.2499999999999995E-2</v>
          </cell>
        </row>
        <row r="203">
          <cell r="A203" t="str">
            <v>AL/FL Gulf Community - J.Heslop</v>
          </cell>
          <cell r="B203" t="str">
            <v>G. Equity Loan</v>
          </cell>
          <cell r="C203">
            <v>61265384</v>
          </cell>
          <cell r="D203" t="str">
            <v>ACT</v>
          </cell>
          <cell r="E203">
            <v>36067</v>
          </cell>
          <cell r="F203">
            <v>42000</v>
          </cell>
          <cell r="G203">
            <v>180</v>
          </cell>
          <cell r="H203">
            <v>7.2499999999999995E-2</v>
          </cell>
        </row>
        <row r="204">
          <cell r="A204" t="str">
            <v>AL/FL Gulf Community - J.Heslop</v>
          </cell>
          <cell r="B204" t="str">
            <v>G. Equity Loan</v>
          </cell>
          <cell r="C204">
            <v>61289895</v>
          </cell>
          <cell r="D204" t="str">
            <v>NEW</v>
          </cell>
          <cell r="E204">
            <v>36105</v>
          </cell>
          <cell r="F204">
            <v>42000</v>
          </cell>
          <cell r="G204">
            <v>180</v>
          </cell>
          <cell r="H204">
            <v>7.2499999999999995E-2</v>
          </cell>
        </row>
        <row r="205">
          <cell r="A205" t="str">
            <v>AL/FL/TX Metro - J.Barri</v>
          </cell>
          <cell r="B205" t="str">
            <v>G. Equity Loan</v>
          </cell>
          <cell r="C205">
            <v>61269681</v>
          </cell>
          <cell r="D205" t="str">
            <v>NEW</v>
          </cell>
          <cell r="E205">
            <v>36097</v>
          </cell>
          <cell r="F205">
            <v>42275</v>
          </cell>
          <cell r="G205">
            <v>180</v>
          </cell>
          <cell r="H205">
            <v>7.9899999999999999E-2</v>
          </cell>
        </row>
        <row r="206">
          <cell r="A206" t="str">
            <v>AL/FL Gulf Community - J.Heslop</v>
          </cell>
          <cell r="B206" t="str">
            <v>G. Equity Loan</v>
          </cell>
          <cell r="C206">
            <v>61309470</v>
          </cell>
          <cell r="D206" t="str">
            <v>NEW</v>
          </cell>
          <cell r="E206">
            <v>36101</v>
          </cell>
          <cell r="F206">
            <v>42420</v>
          </cell>
          <cell r="G206">
            <v>180</v>
          </cell>
          <cell r="H206">
            <v>7.4999999999999997E-2</v>
          </cell>
        </row>
        <row r="207">
          <cell r="A207" t="str">
            <v>AL/FL/TX Metro - J.Barri</v>
          </cell>
          <cell r="B207" t="str">
            <v>G. Equity Loan</v>
          </cell>
          <cell r="C207">
            <v>61269738</v>
          </cell>
          <cell r="D207" t="str">
            <v>ACT</v>
          </cell>
          <cell r="E207">
            <v>36095</v>
          </cell>
          <cell r="F207">
            <v>44000</v>
          </cell>
          <cell r="G207">
            <v>180</v>
          </cell>
          <cell r="H207">
            <v>7.2499999999999995E-2</v>
          </cell>
        </row>
        <row r="208">
          <cell r="A208" t="str">
            <v>AL/FL/TX Metro - J.Barri</v>
          </cell>
          <cell r="B208" t="str">
            <v>G. Equity Loan</v>
          </cell>
          <cell r="C208">
            <v>61267220</v>
          </cell>
          <cell r="D208" t="str">
            <v>NEW</v>
          </cell>
          <cell r="E208">
            <v>36087</v>
          </cell>
          <cell r="F208">
            <v>44500</v>
          </cell>
          <cell r="G208">
            <v>180</v>
          </cell>
          <cell r="H208">
            <v>7.9899999999999999E-2</v>
          </cell>
        </row>
        <row r="209">
          <cell r="A209" t="str">
            <v>AL/FL/TX Metro - J.Barri</v>
          </cell>
          <cell r="B209" t="str">
            <v>G. Equity Loan</v>
          </cell>
          <cell r="C209">
            <v>61311750</v>
          </cell>
          <cell r="D209" t="str">
            <v>NEW</v>
          </cell>
          <cell r="E209">
            <v>36098</v>
          </cell>
          <cell r="F209">
            <v>44500</v>
          </cell>
          <cell r="G209">
            <v>180</v>
          </cell>
          <cell r="H209">
            <v>7.2499999999999995E-2</v>
          </cell>
        </row>
        <row r="210">
          <cell r="A210" t="str">
            <v>AL/FL Gulf Community - J.Heslop</v>
          </cell>
          <cell r="B210" t="str">
            <v>G. Equity Loan</v>
          </cell>
          <cell r="C210">
            <v>61208534</v>
          </cell>
          <cell r="D210" t="str">
            <v>NEW</v>
          </cell>
          <cell r="E210">
            <v>36117</v>
          </cell>
          <cell r="F210">
            <v>44700</v>
          </cell>
          <cell r="G210">
            <v>180</v>
          </cell>
          <cell r="H210">
            <v>7.2499999999999995E-2</v>
          </cell>
        </row>
        <row r="211">
          <cell r="A211" t="str">
            <v>AL/FL/TX Metro - J.Barri</v>
          </cell>
          <cell r="B211" t="str">
            <v>G. Equity Loan</v>
          </cell>
          <cell r="C211">
            <v>61258671</v>
          </cell>
          <cell r="D211" t="str">
            <v>ACT</v>
          </cell>
          <cell r="E211">
            <v>36055</v>
          </cell>
          <cell r="F211">
            <v>45000</v>
          </cell>
          <cell r="G211">
            <v>180</v>
          </cell>
          <cell r="H211">
            <v>7.9899999999999999E-2</v>
          </cell>
        </row>
        <row r="212">
          <cell r="A212" t="str">
            <v>AL/FL/TX Metro - J.Barri</v>
          </cell>
          <cell r="B212" t="str">
            <v>G. Equity Loan</v>
          </cell>
          <cell r="C212">
            <v>61208232</v>
          </cell>
          <cell r="D212" t="str">
            <v>ACT</v>
          </cell>
          <cell r="E212">
            <v>36040</v>
          </cell>
          <cell r="F212">
            <v>45000</v>
          </cell>
          <cell r="G212">
            <v>180</v>
          </cell>
          <cell r="H212">
            <v>7.9899999999999999E-2</v>
          </cell>
        </row>
        <row r="213">
          <cell r="A213" t="str">
            <v>AL/FL Gulf Community - J.Heslop</v>
          </cell>
          <cell r="B213" t="str">
            <v>G. Equity Loan</v>
          </cell>
          <cell r="C213">
            <v>61290230</v>
          </cell>
          <cell r="D213" t="str">
            <v>NEW</v>
          </cell>
          <cell r="E213">
            <v>36102</v>
          </cell>
          <cell r="F213">
            <v>45000</v>
          </cell>
          <cell r="G213">
            <v>180</v>
          </cell>
          <cell r="H213">
            <v>7.2499999999999995E-2</v>
          </cell>
        </row>
        <row r="214">
          <cell r="A214" t="str">
            <v>AL/FL Gulf Community - J.Heslop</v>
          </cell>
          <cell r="B214" t="str">
            <v>G. Equity Loan</v>
          </cell>
          <cell r="C214">
            <v>61289925</v>
          </cell>
          <cell r="D214" t="str">
            <v>NEW</v>
          </cell>
          <cell r="E214">
            <v>36111</v>
          </cell>
          <cell r="F214">
            <v>45000</v>
          </cell>
          <cell r="G214">
            <v>180</v>
          </cell>
          <cell r="H214">
            <v>7.2499999999999995E-2</v>
          </cell>
        </row>
        <row r="215">
          <cell r="A215" t="str">
            <v>AL/FL/TX Metro - J.Barri</v>
          </cell>
          <cell r="B215" t="str">
            <v>G. Equity Loan</v>
          </cell>
          <cell r="C215">
            <v>61265635</v>
          </cell>
          <cell r="D215" t="str">
            <v>ACT</v>
          </cell>
          <cell r="E215">
            <v>36081</v>
          </cell>
          <cell r="F215">
            <v>45000</v>
          </cell>
          <cell r="G215">
            <v>120</v>
          </cell>
          <cell r="H215">
            <v>7.2499999999999995E-2</v>
          </cell>
        </row>
        <row r="216">
          <cell r="A216" t="str">
            <v>AL/FL/TX Metro - J.Barri</v>
          </cell>
          <cell r="B216" t="str">
            <v>G. Equity Loan</v>
          </cell>
          <cell r="C216">
            <v>61311963</v>
          </cell>
          <cell r="D216" t="str">
            <v>NEW</v>
          </cell>
          <cell r="E216">
            <v>36097</v>
          </cell>
          <cell r="F216">
            <v>45000</v>
          </cell>
          <cell r="G216">
            <v>60</v>
          </cell>
          <cell r="H216">
            <v>7.2499999999999995E-2</v>
          </cell>
        </row>
        <row r="217">
          <cell r="A217" t="str">
            <v>AL/FL/TX Metro - J.Barri</v>
          </cell>
          <cell r="B217" t="str">
            <v>G. Equity Loan</v>
          </cell>
          <cell r="C217">
            <v>61208240</v>
          </cell>
          <cell r="D217" t="str">
            <v>NEW</v>
          </cell>
          <cell r="E217">
            <v>36112</v>
          </cell>
          <cell r="F217">
            <v>45030</v>
          </cell>
          <cell r="G217">
            <v>180</v>
          </cell>
          <cell r="H217">
            <v>8.2500000000000004E-2</v>
          </cell>
        </row>
        <row r="218">
          <cell r="A218" t="str">
            <v>AL/FL/TX Metro - J.Barri</v>
          </cell>
          <cell r="B218" t="str">
            <v>G. Equity Loan</v>
          </cell>
          <cell r="C218">
            <v>61269789</v>
          </cell>
          <cell r="D218" t="str">
            <v>ACT</v>
          </cell>
          <cell r="E218">
            <v>36089</v>
          </cell>
          <cell r="F218">
            <v>45100</v>
          </cell>
          <cell r="G218">
            <v>96</v>
          </cell>
          <cell r="H218">
            <v>7.2499999999999995E-2</v>
          </cell>
        </row>
        <row r="219">
          <cell r="A219" t="str">
            <v>AL/FL/TX Metro - J.Barri</v>
          </cell>
          <cell r="B219" t="str">
            <v>G. Equity Loan</v>
          </cell>
          <cell r="C219">
            <v>61290028</v>
          </cell>
          <cell r="D219" t="str">
            <v>NEW</v>
          </cell>
          <cell r="E219">
            <v>36108</v>
          </cell>
          <cell r="F219">
            <v>45500</v>
          </cell>
          <cell r="G219">
            <v>180</v>
          </cell>
          <cell r="H219">
            <v>7.2499999999999995E-2</v>
          </cell>
        </row>
        <row r="220">
          <cell r="A220" t="str">
            <v>AL/FL Gulf Community - J.Heslop</v>
          </cell>
          <cell r="B220" t="str">
            <v>G. Equity Loan</v>
          </cell>
          <cell r="C220">
            <v>61307109</v>
          </cell>
          <cell r="D220" t="str">
            <v>NEW</v>
          </cell>
          <cell r="E220">
            <v>36112</v>
          </cell>
          <cell r="F220">
            <v>46000</v>
          </cell>
          <cell r="G220">
            <v>180</v>
          </cell>
          <cell r="H220">
            <v>8.5000000000000006E-2</v>
          </cell>
        </row>
        <row r="221">
          <cell r="A221" t="str">
            <v>AL/FL Gulf Community - J.Heslop</v>
          </cell>
          <cell r="B221" t="str">
            <v>G. Equity Loan</v>
          </cell>
          <cell r="C221">
            <v>61269770</v>
          </cell>
          <cell r="D221" t="str">
            <v>ACT</v>
          </cell>
          <cell r="E221">
            <v>36095</v>
          </cell>
          <cell r="F221">
            <v>46000</v>
          </cell>
          <cell r="G221">
            <v>180</v>
          </cell>
          <cell r="H221">
            <v>7.2499999999999995E-2</v>
          </cell>
        </row>
        <row r="222">
          <cell r="A222" t="str">
            <v>AL/FL Gulf Community - J.Heslop</v>
          </cell>
          <cell r="B222" t="str">
            <v>G. Equity Loan</v>
          </cell>
          <cell r="C222">
            <v>61311343</v>
          </cell>
          <cell r="D222" t="str">
            <v>NEW</v>
          </cell>
          <cell r="E222">
            <v>36098</v>
          </cell>
          <cell r="F222">
            <v>47000</v>
          </cell>
          <cell r="G222">
            <v>180</v>
          </cell>
          <cell r="H222">
            <v>7.2499999999999995E-2</v>
          </cell>
        </row>
        <row r="223">
          <cell r="A223" t="str">
            <v>AL/FL/TX Metro - J.Barri</v>
          </cell>
          <cell r="B223" t="str">
            <v>G. Equity Loan</v>
          </cell>
          <cell r="C223">
            <v>61267328</v>
          </cell>
          <cell r="D223" t="str">
            <v>ACT</v>
          </cell>
          <cell r="E223">
            <v>36084</v>
          </cell>
          <cell r="F223">
            <v>47000</v>
          </cell>
          <cell r="G223">
            <v>180</v>
          </cell>
          <cell r="H223">
            <v>7.2499999999999995E-2</v>
          </cell>
        </row>
        <row r="224">
          <cell r="A224" t="str">
            <v>AL/FL/TX Metro - J.Barri</v>
          </cell>
          <cell r="B224" t="str">
            <v>G. Equity Loan</v>
          </cell>
          <cell r="C224">
            <v>61311912</v>
          </cell>
          <cell r="D224" t="str">
            <v>NEW</v>
          </cell>
          <cell r="E224">
            <v>36097</v>
          </cell>
          <cell r="F224">
            <v>47467</v>
          </cell>
          <cell r="G224">
            <v>180</v>
          </cell>
          <cell r="H224">
            <v>7.2499999999999995E-2</v>
          </cell>
        </row>
        <row r="225">
          <cell r="A225" t="str">
            <v>AL/FL Gulf Community - J.Heslop</v>
          </cell>
          <cell r="B225" t="str">
            <v>G. Equity Loan</v>
          </cell>
          <cell r="C225">
            <v>61309926</v>
          </cell>
          <cell r="D225" t="str">
            <v>NEW</v>
          </cell>
          <cell r="E225">
            <v>36102</v>
          </cell>
          <cell r="F225">
            <v>48000</v>
          </cell>
          <cell r="G225">
            <v>180</v>
          </cell>
          <cell r="H225">
            <v>8.2500000000000004E-2</v>
          </cell>
        </row>
        <row r="226">
          <cell r="A226" t="str">
            <v>AL/FL/TX Metro - J.Barri</v>
          </cell>
          <cell r="B226" t="str">
            <v>G. Equity Loan</v>
          </cell>
          <cell r="C226">
            <v>61267271</v>
          </cell>
          <cell r="D226" t="str">
            <v>ACT</v>
          </cell>
          <cell r="E226">
            <v>36087</v>
          </cell>
          <cell r="F226">
            <v>48400</v>
          </cell>
          <cell r="G226">
            <v>180</v>
          </cell>
          <cell r="H226">
            <v>7.2499999999999995E-2</v>
          </cell>
        </row>
        <row r="227">
          <cell r="A227" t="str">
            <v>AL/FL Gulf Community - J.Heslop</v>
          </cell>
          <cell r="B227" t="str">
            <v>G. Equity Loan</v>
          </cell>
          <cell r="C227">
            <v>61266895</v>
          </cell>
          <cell r="D227" t="str">
            <v>ACT</v>
          </cell>
          <cell r="E227">
            <v>36077</v>
          </cell>
          <cell r="F227">
            <v>50000</v>
          </cell>
          <cell r="G227">
            <v>120</v>
          </cell>
          <cell r="H227">
            <v>7.9899999999999999E-2</v>
          </cell>
        </row>
        <row r="228">
          <cell r="A228" t="str">
            <v>AL/FL/TX Metro - J.Barri</v>
          </cell>
          <cell r="B228" t="str">
            <v>G. Equity Loan</v>
          </cell>
          <cell r="C228">
            <v>61258353</v>
          </cell>
          <cell r="D228" t="str">
            <v>ACT</v>
          </cell>
          <cell r="E228">
            <v>36053</v>
          </cell>
          <cell r="F228">
            <v>50000</v>
          </cell>
          <cell r="G228">
            <v>180</v>
          </cell>
          <cell r="H228">
            <v>7.9899999999999999E-2</v>
          </cell>
        </row>
        <row r="229">
          <cell r="A229" t="str">
            <v>AL/FL/TX Metro - J.Barri</v>
          </cell>
          <cell r="B229" t="str">
            <v>G. Equity Loan</v>
          </cell>
          <cell r="C229">
            <v>61259260</v>
          </cell>
          <cell r="D229" t="str">
            <v>ACT</v>
          </cell>
          <cell r="E229">
            <v>36039</v>
          </cell>
          <cell r="F229">
            <v>50000</v>
          </cell>
          <cell r="G229">
            <v>180</v>
          </cell>
          <cell r="H229">
            <v>7.9899999999999999E-2</v>
          </cell>
        </row>
        <row r="230">
          <cell r="A230" t="str">
            <v>AL/FL/TX Metro - J.Barri</v>
          </cell>
          <cell r="B230" t="str">
            <v>G. Equity Loan</v>
          </cell>
          <cell r="C230">
            <v>61265325</v>
          </cell>
          <cell r="D230" t="str">
            <v>ACT</v>
          </cell>
          <cell r="E230">
            <v>36063</v>
          </cell>
          <cell r="F230">
            <v>50000</v>
          </cell>
          <cell r="G230">
            <v>96</v>
          </cell>
          <cell r="H230">
            <v>7.9899999999999999E-2</v>
          </cell>
        </row>
        <row r="231">
          <cell r="A231" t="str">
            <v>AL/FL/TX Metro - J.Barri</v>
          </cell>
          <cell r="B231" t="str">
            <v>G. Equity Loan</v>
          </cell>
          <cell r="C231">
            <v>61265627</v>
          </cell>
          <cell r="D231" t="str">
            <v>ACT</v>
          </cell>
          <cell r="E231">
            <v>36073</v>
          </cell>
          <cell r="F231">
            <v>50000</v>
          </cell>
          <cell r="G231">
            <v>120</v>
          </cell>
          <cell r="H231">
            <v>7.9899999999999999E-2</v>
          </cell>
        </row>
        <row r="232">
          <cell r="A232" t="str">
            <v>AL/FL/TX Metro - J.Barri</v>
          </cell>
          <cell r="B232" t="str">
            <v>G. Equity Loan</v>
          </cell>
          <cell r="C232">
            <v>61259872</v>
          </cell>
          <cell r="D232" t="str">
            <v>ACT</v>
          </cell>
          <cell r="E232">
            <v>36083</v>
          </cell>
          <cell r="F232">
            <v>50000</v>
          </cell>
          <cell r="G232">
            <v>180</v>
          </cell>
          <cell r="H232">
            <v>7.2499999999999995E-2</v>
          </cell>
        </row>
        <row r="233">
          <cell r="A233" t="str">
            <v>AL/FL/TX Metro - J.Barri</v>
          </cell>
          <cell r="B233" t="str">
            <v>G. Equity Loan</v>
          </cell>
          <cell r="C233">
            <v>61310835</v>
          </cell>
          <cell r="D233" t="str">
            <v>NEW</v>
          </cell>
          <cell r="E233">
            <v>36103</v>
          </cell>
          <cell r="F233">
            <v>50000</v>
          </cell>
          <cell r="G233">
            <v>180</v>
          </cell>
          <cell r="H233">
            <v>7.2499999999999995E-2</v>
          </cell>
        </row>
        <row r="234">
          <cell r="A234" t="str">
            <v>AL/FL/TX Metro - J.Barri</v>
          </cell>
          <cell r="B234" t="str">
            <v>G. Equity Loan</v>
          </cell>
          <cell r="C234">
            <v>61290249</v>
          </cell>
          <cell r="D234" t="str">
            <v>NEW</v>
          </cell>
          <cell r="E234">
            <v>36108</v>
          </cell>
          <cell r="F234">
            <v>50000</v>
          </cell>
          <cell r="G234">
            <v>180</v>
          </cell>
          <cell r="H234">
            <v>7.2499999999999995E-2</v>
          </cell>
        </row>
        <row r="235">
          <cell r="A235" t="str">
            <v>AL/FL/TX Metro - J.Barri</v>
          </cell>
          <cell r="B235" t="str">
            <v>G. Equity Loan</v>
          </cell>
          <cell r="C235">
            <v>61268324</v>
          </cell>
          <cell r="D235" t="str">
            <v>ACT</v>
          </cell>
          <cell r="E235">
            <v>36089</v>
          </cell>
          <cell r="F235">
            <v>50000</v>
          </cell>
          <cell r="G235">
            <v>180</v>
          </cell>
          <cell r="H235">
            <v>7.2499999999999995E-2</v>
          </cell>
        </row>
        <row r="236">
          <cell r="A236" t="str">
            <v>AL/FL Gulf Community - J.Heslop</v>
          </cell>
          <cell r="B236" t="str">
            <v>G. Equity Loan</v>
          </cell>
          <cell r="C236">
            <v>61311696</v>
          </cell>
          <cell r="D236" t="str">
            <v>NEW</v>
          </cell>
          <cell r="E236">
            <v>36103</v>
          </cell>
          <cell r="F236">
            <v>51000</v>
          </cell>
          <cell r="G236">
            <v>180</v>
          </cell>
          <cell r="H236">
            <v>7.2499999999999995E-2</v>
          </cell>
        </row>
        <row r="237">
          <cell r="A237" t="str">
            <v>AL/FL/TX Metro - J.Barri</v>
          </cell>
          <cell r="B237" t="str">
            <v>G. Equity Loan</v>
          </cell>
          <cell r="C237">
            <v>61257705</v>
          </cell>
          <cell r="D237" t="str">
            <v>ACT</v>
          </cell>
          <cell r="E237">
            <v>36062</v>
          </cell>
          <cell r="F237">
            <v>51895</v>
          </cell>
          <cell r="G237">
            <v>180</v>
          </cell>
          <cell r="H237">
            <v>7.9899999999999999E-2</v>
          </cell>
        </row>
        <row r="238">
          <cell r="A238" t="str">
            <v>AL/FL Gulf Community - J.Heslop</v>
          </cell>
          <cell r="B238" t="str">
            <v>G. Equity Loan</v>
          </cell>
          <cell r="C238">
            <v>61289852</v>
          </cell>
          <cell r="D238" t="str">
            <v>NEW</v>
          </cell>
          <cell r="E238">
            <v>36108</v>
          </cell>
          <cell r="F238">
            <v>52000</v>
          </cell>
          <cell r="G238">
            <v>180</v>
          </cell>
          <cell r="H238">
            <v>7.2499999999999995E-2</v>
          </cell>
        </row>
        <row r="239">
          <cell r="A239" t="str">
            <v>AL/FL/TX Metro - J.Barri</v>
          </cell>
          <cell r="B239" t="str">
            <v>G. Equity Loan</v>
          </cell>
          <cell r="C239">
            <v>61310029</v>
          </cell>
          <cell r="D239" t="str">
            <v>NEW</v>
          </cell>
          <cell r="E239">
            <v>36103</v>
          </cell>
          <cell r="F239">
            <v>52000</v>
          </cell>
          <cell r="G239">
            <v>180</v>
          </cell>
          <cell r="H239">
            <v>7.2499999999999995E-2</v>
          </cell>
        </row>
        <row r="240">
          <cell r="A240" t="str">
            <v>AL/FL/TX Metro - J.Barri</v>
          </cell>
          <cell r="B240" t="str">
            <v>G. Equity Loan</v>
          </cell>
          <cell r="C240">
            <v>61290036</v>
          </cell>
          <cell r="D240" t="str">
            <v>NEW</v>
          </cell>
          <cell r="E240">
            <v>36108</v>
          </cell>
          <cell r="F240">
            <v>53000</v>
          </cell>
          <cell r="G240">
            <v>180</v>
          </cell>
          <cell r="H240">
            <v>7.2499999999999995E-2</v>
          </cell>
        </row>
        <row r="241">
          <cell r="A241" t="str">
            <v>AL/FL/TX Metro - J.Barri</v>
          </cell>
          <cell r="B241" t="str">
            <v>G. Equity Loan</v>
          </cell>
          <cell r="C241">
            <v>61265228</v>
          </cell>
          <cell r="D241" t="str">
            <v>ACT</v>
          </cell>
          <cell r="E241">
            <v>36066</v>
          </cell>
          <cell r="F241">
            <v>53700</v>
          </cell>
          <cell r="G241">
            <v>180</v>
          </cell>
          <cell r="H241">
            <v>8.9899999999999994E-2</v>
          </cell>
        </row>
        <row r="242">
          <cell r="A242" t="str">
            <v>AL/FL Gulf Community - J.Heslop</v>
          </cell>
          <cell r="B242" t="str">
            <v>G. Equity Loan</v>
          </cell>
          <cell r="C242">
            <v>61307710</v>
          </cell>
          <cell r="D242" t="str">
            <v>NEW</v>
          </cell>
          <cell r="E242">
            <v>36113</v>
          </cell>
          <cell r="F242">
            <v>54000</v>
          </cell>
          <cell r="G242">
            <v>180</v>
          </cell>
          <cell r="H242">
            <v>7.4999999999999997E-2</v>
          </cell>
        </row>
        <row r="243">
          <cell r="A243" t="str">
            <v>AL/FL Gulf Community - J.Heslop</v>
          </cell>
          <cell r="B243" t="str">
            <v>G. Equity Loan</v>
          </cell>
          <cell r="C243">
            <v>61309535</v>
          </cell>
          <cell r="D243" t="str">
            <v>NEW</v>
          </cell>
          <cell r="E243">
            <v>36097</v>
          </cell>
          <cell r="F243">
            <v>55000</v>
          </cell>
          <cell r="G243">
            <v>180</v>
          </cell>
          <cell r="H243">
            <v>7.2499999999999995E-2</v>
          </cell>
        </row>
        <row r="244">
          <cell r="A244" t="str">
            <v>AL/FL Gulf Community - J.Heslop</v>
          </cell>
          <cell r="B244" t="str">
            <v>G. Equity Loan</v>
          </cell>
          <cell r="C244">
            <v>61289968</v>
          </cell>
          <cell r="D244" t="str">
            <v>NEW</v>
          </cell>
          <cell r="E244">
            <v>36109</v>
          </cell>
          <cell r="F244">
            <v>56212.71</v>
          </cell>
          <cell r="G244">
            <v>144</v>
          </cell>
          <cell r="H244">
            <v>7.2499999999999995E-2</v>
          </cell>
        </row>
        <row r="245">
          <cell r="A245" t="str">
            <v>AL/FL/TX Metro - J.Barri</v>
          </cell>
          <cell r="B245" t="str">
            <v>G. Equity Loan</v>
          </cell>
          <cell r="C245">
            <v>61258779</v>
          </cell>
          <cell r="D245" t="str">
            <v>ACT</v>
          </cell>
          <cell r="E245">
            <v>36046</v>
          </cell>
          <cell r="F245">
            <v>60000</v>
          </cell>
          <cell r="G245">
            <v>180</v>
          </cell>
          <cell r="H245">
            <v>7.9899999999999999E-2</v>
          </cell>
        </row>
        <row r="246">
          <cell r="A246" t="str">
            <v>AL/FL/TX Metro - J.Barri</v>
          </cell>
          <cell r="B246" t="str">
            <v>G. Equity Loan</v>
          </cell>
          <cell r="C246">
            <v>61257411</v>
          </cell>
          <cell r="D246" t="str">
            <v>ACT</v>
          </cell>
          <cell r="E246">
            <v>36041</v>
          </cell>
          <cell r="F246">
            <v>60000</v>
          </cell>
          <cell r="G246">
            <v>180</v>
          </cell>
          <cell r="H246">
            <v>7.9899999999999999E-2</v>
          </cell>
        </row>
        <row r="247">
          <cell r="A247" t="str">
            <v>AL/FL Gulf Community - J.Heslop</v>
          </cell>
          <cell r="B247" t="str">
            <v>G. Equity Loan</v>
          </cell>
          <cell r="C247">
            <v>61307656</v>
          </cell>
          <cell r="D247" t="str">
            <v>NEW</v>
          </cell>
          <cell r="E247">
            <v>36112</v>
          </cell>
          <cell r="F247">
            <v>60000</v>
          </cell>
          <cell r="G247">
            <v>180</v>
          </cell>
          <cell r="H247">
            <v>7.4899999999999994E-2</v>
          </cell>
        </row>
        <row r="248">
          <cell r="A248" t="str">
            <v>AL/FL Gulf Community - J.Heslop</v>
          </cell>
          <cell r="B248" t="str">
            <v>G. Equity Loan</v>
          </cell>
          <cell r="C248">
            <v>61290907</v>
          </cell>
          <cell r="D248" t="str">
            <v>NEW</v>
          </cell>
          <cell r="E248">
            <v>36111</v>
          </cell>
          <cell r="F248">
            <v>60000</v>
          </cell>
          <cell r="G248">
            <v>60</v>
          </cell>
          <cell r="H248">
            <v>7.2499999999999995E-2</v>
          </cell>
        </row>
        <row r="249">
          <cell r="A249" t="str">
            <v>AL/FL/TX Metro - J.Barri</v>
          </cell>
          <cell r="B249" t="str">
            <v>G. Equity Loan</v>
          </cell>
          <cell r="C249">
            <v>61268081</v>
          </cell>
          <cell r="D249" t="str">
            <v>ACT</v>
          </cell>
          <cell r="E249">
            <v>36089</v>
          </cell>
          <cell r="F249">
            <v>60000</v>
          </cell>
          <cell r="G249">
            <v>180</v>
          </cell>
          <cell r="H249">
            <v>7.2499999999999995E-2</v>
          </cell>
        </row>
        <row r="250">
          <cell r="A250" t="str">
            <v>AL/FL/TX Metro - J.Barri</v>
          </cell>
          <cell r="B250" t="str">
            <v>G. Equity Loan</v>
          </cell>
          <cell r="C250">
            <v>61265465</v>
          </cell>
          <cell r="D250" t="str">
            <v>ACT</v>
          </cell>
          <cell r="E250">
            <v>36075</v>
          </cell>
          <cell r="F250">
            <v>60000</v>
          </cell>
          <cell r="G250">
            <v>180</v>
          </cell>
          <cell r="H250">
            <v>7.2499999999999995E-2</v>
          </cell>
        </row>
        <row r="251">
          <cell r="A251" t="str">
            <v>AL/FL Gulf Community - J.Heslop</v>
          </cell>
          <cell r="B251" t="str">
            <v>G. Equity Loan</v>
          </cell>
          <cell r="C251">
            <v>61289771</v>
          </cell>
          <cell r="D251" t="str">
            <v>NEW</v>
          </cell>
          <cell r="E251">
            <v>36103</v>
          </cell>
          <cell r="F251">
            <v>63000</v>
          </cell>
          <cell r="G251">
            <v>180</v>
          </cell>
          <cell r="H251">
            <v>7.2499999999999995E-2</v>
          </cell>
        </row>
        <row r="252">
          <cell r="A252" t="str">
            <v>AL/FL/TX Metro - J.Barri</v>
          </cell>
          <cell r="B252" t="str">
            <v>G. Equity Loan</v>
          </cell>
          <cell r="C252">
            <v>61309977</v>
          </cell>
          <cell r="D252" t="str">
            <v>NEW</v>
          </cell>
          <cell r="E252">
            <v>36105</v>
          </cell>
          <cell r="F252">
            <v>63000</v>
          </cell>
          <cell r="G252">
            <v>180</v>
          </cell>
          <cell r="H252">
            <v>7.2499999999999995E-2</v>
          </cell>
        </row>
        <row r="253">
          <cell r="A253" t="str">
            <v>AL/FL/TX Metro - J.Barri</v>
          </cell>
          <cell r="B253" t="str">
            <v>G. Equity Loan</v>
          </cell>
          <cell r="C253">
            <v>61268596</v>
          </cell>
          <cell r="D253" t="str">
            <v>ACT</v>
          </cell>
          <cell r="E253">
            <v>36087</v>
          </cell>
          <cell r="F253">
            <v>63100</v>
          </cell>
          <cell r="G253">
            <v>180</v>
          </cell>
          <cell r="H253">
            <v>7.2499999999999995E-2</v>
          </cell>
        </row>
        <row r="254">
          <cell r="A254" t="str">
            <v>AL/FL Gulf Community - J.Heslop</v>
          </cell>
          <cell r="B254" t="str">
            <v>G. Equity Loan</v>
          </cell>
          <cell r="C254">
            <v>61265074</v>
          </cell>
          <cell r="D254" t="str">
            <v>ACT</v>
          </cell>
          <cell r="E254">
            <v>36073</v>
          </cell>
          <cell r="F254">
            <v>63700</v>
          </cell>
          <cell r="G254">
            <v>180</v>
          </cell>
          <cell r="H254">
            <v>7.9899999999999999E-2</v>
          </cell>
        </row>
        <row r="255">
          <cell r="A255" t="str">
            <v>AL/FL Gulf Community - J.Heslop</v>
          </cell>
          <cell r="B255" t="str">
            <v>G. Equity Loan</v>
          </cell>
          <cell r="C255">
            <v>61258639</v>
          </cell>
          <cell r="D255" t="str">
            <v>ACT</v>
          </cell>
          <cell r="E255">
            <v>36056</v>
          </cell>
          <cell r="F255">
            <v>65000</v>
          </cell>
          <cell r="G255">
            <v>180</v>
          </cell>
          <cell r="H255">
            <v>7.9899999999999999E-2</v>
          </cell>
        </row>
        <row r="256">
          <cell r="A256" t="str">
            <v>AL/FL Gulf Community - J.Heslop</v>
          </cell>
          <cell r="B256" t="str">
            <v>G. Equity Loan</v>
          </cell>
          <cell r="C256">
            <v>61260048</v>
          </cell>
          <cell r="D256" t="str">
            <v>ACT</v>
          </cell>
          <cell r="E256">
            <v>36075</v>
          </cell>
          <cell r="F256">
            <v>65000</v>
          </cell>
          <cell r="G256">
            <v>180</v>
          </cell>
          <cell r="H256">
            <v>7.9899999999999999E-2</v>
          </cell>
        </row>
        <row r="257">
          <cell r="A257" t="str">
            <v>AL/FL Gulf Community - J.Heslop</v>
          </cell>
          <cell r="B257" t="str">
            <v>G. Equity Loan</v>
          </cell>
          <cell r="C257">
            <v>61311874</v>
          </cell>
          <cell r="D257" t="str">
            <v>NEW</v>
          </cell>
          <cell r="E257">
            <v>36101</v>
          </cell>
          <cell r="F257">
            <v>65000</v>
          </cell>
          <cell r="G257">
            <v>180</v>
          </cell>
          <cell r="H257">
            <v>7.2499999999999995E-2</v>
          </cell>
        </row>
        <row r="258">
          <cell r="A258" t="str">
            <v>AL/FL Gulf Community - J.Heslop</v>
          </cell>
          <cell r="B258" t="str">
            <v>G. Equity Loan</v>
          </cell>
          <cell r="C258">
            <v>61257357</v>
          </cell>
          <cell r="D258" t="str">
            <v>ACT</v>
          </cell>
          <cell r="E258">
            <v>36040</v>
          </cell>
          <cell r="F258">
            <v>67000</v>
          </cell>
          <cell r="G258">
            <v>102</v>
          </cell>
          <cell r="H258">
            <v>7.9899999999999999E-2</v>
          </cell>
        </row>
        <row r="259">
          <cell r="A259" t="str">
            <v>AL/FL/TX Metro - J.Barri</v>
          </cell>
          <cell r="B259" t="str">
            <v>G. Equity Loan</v>
          </cell>
          <cell r="C259">
            <v>61310193</v>
          </cell>
          <cell r="D259" t="str">
            <v>NEW</v>
          </cell>
          <cell r="E259">
            <v>36103</v>
          </cell>
          <cell r="F259">
            <v>67000</v>
          </cell>
          <cell r="G259">
            <v>180</v>
          </cell>
          <cell r="H259">
            <v>7.2499999999999995E-2</v>
          </cell>
        </row>
        <row r="260">
          <cell r="A260" t="str">
            <v>AL/FL/TX Metro - J.Barri</v>
          </cell>
          <cell r="B260" t="str">
            <v>G. Equity Loan</v>
          </cell>
          <cell r="C260">
            <v>61190457</v>
          </cell>
          <cell r="D260" t="str">
            <v>NEW</v>
          </cell>
          <cell r="E260">
            <v>36111</v>
          </cell>
          <cell r="F260">
            <v>68000</v>
          </cell>
          <cell r="G260">
            <v>181</v>
          </cell>
          <cell r="H260">
            <v>7.2499999999999995E-2</v>
          </cell>
        </row>
        <row r="261">
          <cell r="A261" t="str">
            <v>AL/FL/TX Metro - J.Barri</v>
          </cell>
          <cell r="B261" t="str">
            <v>G. Equity Loan</v>
          </cell>
          <cell r="C261">
            <v>61290192</v>
          </cell>
          <cell r="D261" t="str">
            <v>NEW</v>
          </cell>
          <cell r="E261">
            <v>36108</v>
          </cell>
          <cell r="F261">
            <v>70000</v>
          </cell>
          <cell r="G261">
            <v>180</v>
          </cell>
          <cell r="H261">
            <v>7.2499999999999995E-2</v>
          </cell>
        </row>
        <row r="262">
          <cell r="A262" t="str">
            <v>AL/FL/TX Metro - J.Barri</v>
          </cell>
          <cell r="B262" t="str">
            <v>G. Equity Loan</v>
          </cell>
          <cell r="C262">
            <v>61268421</v>
          </cell>
          <cell r="D262" t="str">
            <v>CLS</v>
          </cell>
          <cell r="E262">
            <v>36080</v>
          </cell>
          <cell r="F262">
            <v>70000</v>
          </cell>
          <cell r="G262">
            <v>120</v>
          </cell>
          <cell r="H262">
            <v>7.2499999999999995E-2</v>
          </cell>
        </row>
        <row r="263">
          <cell r="A263" t="str">
            <v>AL/FL/TX Metro - J.Barri</v>
          </cell>
          <cell r="B263" t="str">
            <v>G. Equity Loan</v>
          </cell>
          <cell r="C263">
            <v>61181792</v>
          </cell>
          <cell r="D263" t="str">
            <v>NEW</v>
          </cell>
          <cell r="E263">
            <v>36080</v>
          </cell>
          <cell r="F263">
            <v>70997</v>
          </cell>
          <cell r="G263">
            <v>120</v>
          </cell>
          <cell r="H263">
            <v>7.2499999999999995E-2</v>
          </cell>
        </row>
        <row r="264">
          <cell r="A264" t="str">
            <v>AL/FL/TX Metro - J.Barri</v>
          </cell>
          <cell r="B264" t="str">
            <v>G. Equity Loan</v>
          </cell>
          <cell r="C264">
            <v>61258124</v>
          </cell>
          <cell r="D264" t="str">
            <v>ACT</v>
          </cell>
          <cell r="E264">
            <v>36054</v>
          </cell>
          <cell r="F264">
            <v>72600</v>
          </cell>
          <cell r="G264">
            <v>180</v>
          </cell>
          <cell r="H264">
            <v>7.9899999999999999E-2</v>
          </cell>
        </row>
        <row r="265">
          <cell r="A265" t="str">
            <v>AL/FL Gulf Community - J.Heslop</v>
          </cell>
          <cell r="B265" t="str">
            <v>G. Equity Loan</v>
          </cell>
          <cell r="C265">
            <v>61310584</v>
          </cell>
          <cell r="D265" t="str">
            <v>NEW</v>
          </cell>
          <cell r="E265">
            <v>36104</v>
          </cell>
          <cell r="F265">
            <v>73000</v>
          </cell>
          <cell r="G265">
            <v>180</v>
          </cell>
          <cell r="H265">
            <v>8.5000000000000006E-2</v>
          </cell>
        </row>
        <row r="266">
          <cell r="A266" t="str">
            <v>AL/FL/TX Metro - J.Barri</v>
          </cell>
          <cell r="B266" t="str">
            <v>G. Equity Loan</v>
          </cell>
          <cell r="C266">
            <v>61260463</v>
          </cell>
          <cell r="D266" t="str">
            <v>MAT</v>
          </cell>
          <cell r="E266">
            <v>36042</v>
          </cell>
          <cell r="F266">
            <v>74525</v>
          </cell>
          <cell r="G266">
            <v>180</v>
          </cell>
          <cell r="H266">
            <v>7.9899999999999999E-2</v>
          </cell>
        </row>
        <row r="267">
          <cell r="A267" t="str">
            <v>AL/FL/TX Metro - J.Barri</v>
          </cell>
          <cell r="B267" t="str">
            <v>G. Equity Loan</v>
          </cell>
          <cell r="C267">
            <v>61311815</v>
          </cell>
          <cell r="D267" t="str">
            <v>NEW</v>
          </cell>
          <cell r="E267">
            <v>36098</v>
          </cell>
          <cell r="F267">
            <v>74525</v>
          </cell>
          <cell r="G267">
            <v>180</v>
          </cell>
          <cell r="H267">
            <v>7.2499999999999995E-2</v>
          </cell>
        </row>
        <row r="268">
          <cell r="A268" t="str">
            <v>AL/FL Gulf Community - J.Heslop</v>
          </cell>
          <cell r="B268" t="str">
            <v>G. Equity Loan</v>
          </cell>
          <cell r="C268">
            <v>61264752</v>
          </cell>
          <cell r="D268" t="str">
            <v>ACT</v>
          </cell>
          <cell r="E268">
            <v>36073</v>
          </cell>
          <cell r="F268">
            <v>75000</v>
          </cell>
          <cell r="G268">
            <v>180</v>
          </cell>
          <cell r="H268">
            <v>8.9899999999999994E-2</v>
          </cell>
        </row>
        <row r="269">
          <cell r="A269" t="str">
            <v>AL/FL Gulf Community - J.Heslop</v>
          </cell>
          <cell r="B269" t="str">
            <v>G. Equity Loan</v>
          </cell>
          <cell r="C269">
            <v>61308199</v>
          </cell>
          <cell r="D269" t="str">
            <v>NEW</v>
          </cell>
          <cell r="E269">
            <v>36110</v>
          </cell>
          <cell r="F269">
            <v>75000</v>
          </cell>
          <cell r="G269">
            <v>3</v>
          </cell>
          <cell r="H269">
            <v>8.2500000000000004E-2</v>
          </cell>
        </row>
        <row r="270">
          <cell r="A270" t="str">
            <v>AL/FL/TX Metro - J.Barri</v>
          </cell>
          <cell r="B270" t="str">
            <v>G. Equity Loan</v>
          </cell>
          <cell r="C270">
            <v>61264809</v>
          </cell>
          <cell r="D270" t="str">
            <v>ACT</v>
          </cell>
          <cell r="E270">
            <v>36081</v>
          </cell>
          <cell r="F270">
            <v>75000</v>
          </cell>
          <cell r="G270">
            <v>180</v>
          </cell>
          <cell r="H270">
            <v>7.2499999999999995E-2</v>
          </cell>
        </row>
        <row r="271">
          <cell r="A271" t="str">
            <v>AL/FL Gulf Community - J.Heslop</v>
          </cell>
          <cell r="B271" t="str">
            <v>G. Equity Loan</v>
          </cell>
          <cell r="C271">
            <v>61257810</v>
          </cell>
          <cell r="D271" t="str">
            <v>CLS</v>
          </cell>
          <cell r="E271">
            <v>36068</v>
          </cell>
          <cell r="F271">
            <v>76000</v>
          </cell>
          <cell r="G271">
            <v>180</v>
          </cell>
          <cell r="H271">
            <v>9.2399999999999996E-2</v>
          </cell>
        </row>
        <row r="272">
          <cell r="A272" t="str">
            <v>AL/FL Gulf Community - J.Heslop</v>
          </cell>
          <cell r="B272" t="str">
            <v>G. Equity Loan</v>
          </cell>
          <cell r="C272">
            <v>61237097</v>
          </cell>
          <cell r="D272" t="str">
            <v>ACT</v>
          </cell>
          <cell r="E272">
            <v>36063</v>
          </cell>
          <cell r="F272">
            <v>76000</v>
          </cell>
          <cell r="G272">
            <v>180</v>
          </cell>
          <cell r="H272">
            <v>9.2399999999999996E-2</v>
          </cell>
        </row>
        <row r="273">
          <cell r="A273" t="str">
            <v>AL/FL/TX Metro - J.Barri</v>
          </cell>
          <cell r="B273" t="str">
            <v>G. Equity Loan</v>
          </cell>
          <cell r="C273">
            <v>61258248</v>
          </cell>
          <cell r="D273" t="str">
            <v>ACT</v>
          </cell>
          <cell r="E273">
            <v>36053</v>
          </cell>
          <cell r="F273">
            <v>80000</v>
          </cell>
          <cell r="G273">
            <v>180</v>
          </cell>
          <cell r="H273">
            <v>7.9899999999999999E-2</v>
          </cell>
        </row>
        <row r="274">
          <cell r="A274" t="str">
            <v>AL/FL/TX Metro - J.Barri</v>
          </cell>
          <cell r="B274" t="str">
            <v>G. Equity Loan</v>
          </cell>
          <cell r="C274">
            <v>61257217</v>
          </cell>
          <cell r="D274" t="str">
            <v>ACT</v>
          </cell>
          <cell r="E274">
            <v>36062</v>
          </cell>
          <cell r="F274">
            <v>80000</v>
          </cell>
          <cell r="G274">
            <v>180</v>
          </cell>
          <cell r="H274">
            <v>7.9899999999999999E-2</v>
          </cell>
        </row>
        <row r="275">
          <cell r="A275" t="str">
            <v>AL/FL/TX Metro - J.Barri</v>
          </cell>
          <cell r="B275" t="str">
            <v>G. Equity Loan</v>
          </cell>
          <cell r="C275">
            <v>61308245</v>
          </cell>
          <cell r="D275" t="str">
            <v>NEW</v>
          </cell>
          <cell r="E275">
            <v>36118</v>
          </cell>
          <cell r="F275">
            <v>85000</v>
          </cell>
          <cell r="G275">
            <v>120</v>
          </cell>
          <cell r="H275">
            <v>7.2499999999999995E-2</v>
          </cell>
        </row>
        <row r="276">
          <cell r="A276" t="str">
            <v>NE Florida Community  - B.White</v>
          </cell>
          <cell r="B276" t="str">
            <v>G. Equity Loan</v>
          </cell>
          <cell r="C276">
            <v>61268154</v>
          </cell>
          <cell r="D276" t="str">
            <v>ACT</v>
          </cell>
          <cell r="E276">
            <v>36084</v>
          </cell>
          <cell r="F276">
            <v>85500</v>
          </cell>
          <cell r="G276">
            <v>180</v>
          </cell>
          <cell r="H276">
            <v>7.9899999999999999E-2</v>
          </cell>
        </row>
        <row r="277">
          <cell r="A277" t="str">
            <v>AL/FL Gulf Community - J.Heslop</v>
          </cell>
          <cell r="B277" t="str">
            <v>G. Equity Loan</v>
          </cell>
          <cell r="C277">
            <v>61269665</v>
          </cell>
          <cell r="D277" t="str">
            <v>ACT</v>
          </cell>
          <cell r="E277">
            <v>36084</v>
          </cell>
          <cell r="F277">
            <v>94000</v>
          </cell>
          <cell r="G277">
            <v>96</v>
          </cell>
          <cell r="H277">
            <v>7.2499999999999995E-2</v>
          </cell>
        </row>
        <row r="278">
          <cell r="A278" t="str">
            <v>AL/FL/TX Metro - J.Barri</v>
          </cell>
          <cell r="B278" t="str">
            <v>G. Equity Loan</v>
          </cell>
          <cell r="C278">
            <v>61259252</v>
          </cell>
          <cell r="D278" t="str">
            <v>ACT</v>
          </cell>
          <cell r="E278">
            <v>36059</v>
          </cell>
          <cell r="F278">
            <v>95000</v>
          </cell>
          <cell r="G278">
            <v>180</v>
          </cell>
          <cell r="H278">
            <v>7.9899999999999999E-2</v>
          </cell>
        </row>
        <row r="279">
          <cell r="A279" t="str">
            <v>AL/FL/TX Metro - J.Barri</v>
          </cell>
          <cell r="B279" t="str">
            <v>G. Equity Loan</v>
          </cell>
          <cell r="C279">
            <v>61307559</v>
          </cell>
          <cell r="D279" t="str">
            <v>NEW</v>
          </cell>
          <cell r="E279">
            <v>36111</v>
          </cell>
          <cell r="F279">
            <v>97000</v>
          </cell>
          <cell r="G279">
            <v>180</v>
          </cell>
          <cell r="H279">
            <v>7.2499999999999995E-2</v>
          </cell>
        </row>
        <row r="280">
          <cell r="A280" t="str">
            <v>AL/FL Gulf Community - J.Heslop</v>
          </cell>
          <cell r="B280" t="str">
            <v>G. Equity Loan</v>
          </cell>
          <cell r="C280">
            <v>61290125</v>
          </cell>
          <cell r="D280" t="str">
            <v>NEW</v>
          </cell>
          <cell r="E280">
            <v>36110</v>
          </cell>
          <cell r="F280">
            <v>100000</v>
          </cell>
          <cell r="G280">
            <v>180</v>
          </cell>
          <cell r="H280">
            <v>7.2499999999999995E-2</v>
          </cell>
        </row>
        <row r="281">
          <cell r="A281" t="str">
            <v>AL/FL/TX Metro - J.Barri</v>
          </cell>
          <cell r="B281" t="str">
            <v>G. Equity Loan</v>
          </cell>
          <cell r="C281">
            <v>61309713</v>
          </cell>
          <cell r="D281" t="str">
            <v>NEW</v>
          </cell>
          <cell r="E281">
            <v>36105</v>
          </cell>
          <cell r="F281">
            <v>100000</v>
          </cell>
          <cell r="G281">
            <v>181</v>
          </cell>
          <cell r="H281">
            <v>7.2499999999999995E-2</v>
          </cell>
        </row>
        <row r="282">
          <cell r="A282" t="str">
            <v>AL/FL/TX Metro - J.Barri</v>
          </cell>
          <cell r="B282" t="str">
            <v>G. Equity Loan</v>
          </cell>
          <cell r="C282">
            <v>61290087</v>
          </cell>
          <cell r="D282" t="str">
            <v>NEW</v>
          </cell>
          <cell r="E282">
            <v>36106</v>
          </cell>
          <cell r="F282">
            <v>100000</v>
          </cell>
          <cell r="G282">
            <v>120</v>
          </cell>
          <cell r="H282">
            <v>7.2499999999999995E-2</v>
          </cell>
        </row>
        <row r="283">
          <cell r="A283" t="str">
            <v>AL/FL Gulf Community - J.Heslop</v>
          </cell>
          <cell r="B283" t="str">
            <v>G. Equity Loan</v>
          </cell>
          <cell r="C283">
            <v>61265104</v>
          </cell>
          <cell r="D283" t="str">
            <v>ACT</v>
          </cell>
          <cell r="E283">
            <v>36041</v>
          </cell>
          <cell r="F283">
            <v>120000</v>
          </cell>
          <cell r="G283">
            <v>12</v>
          </cell>
          <cell r="H283">
            <v>7.7499999999999999E-2</v>
          </cell>
        </row>
        <row r="284">
          <cell r="A284" t="str">
            <v>AL/FL Gulf Community - J.Heslop</v>
          </cell>
          <cell r="B284" t="str">
            <v>G. Equity Loan</v>
          </cell>
          <cell r="C284">
            <v>61307664</v>
          </cell>
          <cell r="D284" t="str">
            <v>NEW</v>
          </cell>
          <cell r="E284">
            <v>36108</v>
          </cell>
          <cell r="F284">
            <v>155000</v>
          </cell>
          <cell r="G284">
            <v>180</v>
          </cell>
          <cell r="H284">
            <v>7.2499999999999995E-2</v>
          </cell>
        </row>
        <row r="285">
          <cell r="A285" t="str">
            <v>AL/FL/TX Metro - J.Barri</v>
          </cell>
          <cell r="B285" t="str">
            <v>G. Equity Loan</v>
          </cell>
          <cell r="C285">
            <v>61290699</v>
          </cell>
          <cell r="D285" t="str">
            <v>NEW</v>
          </cell>
          <cell r="E285">
            <v>36111</v>
          </cell>
          <cell r="F285">
            <v>300000</v>
          </cell>
          <cell r="G285">
            <v>180</v>
          </cell>
          <cell r="H285">
            <v>7.2499999999999995E-2</v>
          </cell>
        </row>
        <row r="287">
          <cell r="B287" t="str">
            <v>10-20</v>
          </cell>
          <cell r="E287">
            <v>43</v>
          </cell>
          <cell r="F287">
            <v>579620</v>
          </cell>
          <cell r="G287">
            <v>13479.534883720929</v>
          </cell>
        </row>
        <row r="288">
          <cell r="B288" t="str">
            <v>20-39</v>
          </cell>
          <cell r="E288">
            <v>117</v>
          </cell>
          <cell r="F288">
            <v>3032447</v>
          </cell>
          <cell r="G288">
            <v>25918.350427350426</v>
          </cell>
        </row>
        <row r="289">
          <cell r="B289" t="str">
            <v>40+</v>
          </cell>
          <cell r="E289">
            <v>124</v>
          </cell>
          <cell r="F289">
            <v>7039759.9399999995</v>
          </cell>
          <cell r="G289">
            <v>56772.257580645157</v>
          </cell>
        </row>
        <row r="290">
          <cell r="E290">
            <v>284</v>
          </cell>
          <cell r="F290">
            <v>10651826.939999999</v>
          </cell>
          <cell r="G290">
            <v>37506.432887323943</v>
          </cell>
        </row>
        <row r="293">
          <cell r="A293" t="str">
            <v>AL/FL/TX Metro - J.Barri</v>
          </cell>
          <cell r="B293" t="str">
            <v>G. Texas Equity Loan</v>
          </cell>
          <cell r="C293">
            <v>61306900</v>
          </cell>
          <cell r="D293" t="str">
            <v>NEW</v>
          </cell>
          <cell r="E293">
            <v>36112</v>
          </cell>
          <cell r="F293">
            <v>5000</v>
          </cell>
          <cell r="G293">
            <v>60</v>
          </cell>
          <cell r="H293">
            <v>0.12239999999999999</v>
          </cell>
        </row>
        <row r="294">
          <cell r="A294" t="str">
            <v>AL/FL/TX Metro - J.Barri</v>
          </cell>
          <cell r="B294" t="str">
            <v>G. Texas Equity Loan</v>
          </cell>
          <cell r="C294">
            <v>61306773</v>
          </cell>
          <cell r="D294" t="str">
            <v>NEW</v>
          </cell>
          <cell r="E294">
            <v>36110</v>
          </cell>
          <cell r="F294">
            <v>5000</v>
          </cell>
          <cell r="G294">
            <v>60</v>
          </cell>
          <cell r="H294">
            <v>0.1174</v>
          </cell>
        </row>
        <row r="295">
          <cell r="A295" t="str">
            <v>AL/FL/TX Metro - J.Barri</v>
          </cell>
          <cell r="B295" t="str">
            <v>G. Texas Equity Loan</v>
          </cell>
          <cell r="C295">
            <v>61311033</v>
          </cell>
          <cell r="D295" t="str">
            <v>NEW</v>
          </cell>
          <cell r="E295">
            <v>36095</v>
          </cell>
          <cell r="F295">
            <v>5700</v>
          </cell>
          <cell r="G295">
            <v>48</v>
          </cell>
          <cell r="H295">
            <v>0.1174</v>
          </cell>
        </row>
        <row r="296">
          <cell r="A296" t="str">
            <v>AL/FL/TX Metro - J.Barri</v>
          </cell>
          <cell r="B296" t="str">
            <v>G. Texas Equity Loan</v>
          </cell>
          <cell r="C296">
            <v>61268731</v>
          </cell>
          <cell r="D296" t="str">
            <v>NEW</v>
          </cell>
          <cell r="E296">
            <v>36088</v>
          </cell>
          <cell r="F296">
            <v>6000</v>
          </cell>
          <cell r="G296">
            <v>60</v>
          </cell>
          <cell r="H296">
            <v>0.1174</v>
          </cell>
        </row>
        <row r="297">
          <cell r="A297" t="str">
            <v>Austin Community  - L.Leatherwood</v>
          </cell>
          <cell r="B297" t="str">
            <v>G. Texas Equity Loan</v>
          </cell>
          <cell r="C297">
            <v>61311742</v>
          </cell>
          <cell r="D297" t="str">
            <v>NEW</v>
          </cell>
          <cell r="E297">
            <v>36096</v>
          </cell>
          <cell r="F297">
            <v>6600</v>
          </cell>
          <cell r="G297">
            <v>84</v>
          </cell>
          <cell r="H297">
            <v>8.2500000000000004E-2</v>
          </cell>
        </row>
        <row r="298">
          <cell r="A298" t="str">
            <v>Texas Community  - A.Burnett</v>
          </cell>
          <cell r="B298" t="str">
            <v>G. Texas Equity Loan</v>
          </cell>
          <cell r="C298">
            <v>61269185</v>
          </cell>
          <cell r="D298" t="str">
            <v>ACT</v>
          </cell>
          <cell r="E298">
            <v>36089</v>
          </cell>
          <cell r="F298">
            <v>7500</v>
          </cell>
          <cell r="G298">
            <v>36</v>
          </cell>
          <cell r="H298">
            <v>0.1174</v>
          </cell>
        </row>
        <row r="299">
          <cell r="A299" t="str">
            <v>AL/FL/TX Metro - J.Barri</v>
          </cell>
          <cell r="B299" t="str">
            <v>G. Texas Equity Loan</v>
          </cell>
          <cell r="C299">
            <v>61268707</v>
          </cell>
          <cell r="D299" t="str">
            <v>ACT</v>
          </cell>
          <cell r="E299">
            <v>36085</v>
          </cell>
          <cell r="F299">
            <v>8477</v>
          </cell>
          <cell r="G299">
            <v>120</v>
          </cell>
          <cell r="H299">
            <v>0.11990000000000001</v>
          </cell>
        </row>
        <row r="300">
          <cell r="A300" t="str">
            <v>AL/FL/TX Metro - J.Barri</v>
          </cell>
          <cell r="B300" t="str">
            <v>G. Texas Equity Loan</v>
          </cell>
          <cell r="C300">
            <v>61290702</v>
          </cell>
          <cell r="D300" t="str">
            <v>NEW</v>
          </cell>
          <cell r="E300">
            <v>36105</v>
          </cell>
          <cell r="F300">
            <v>8760</v>
          </cell>
          <cell r="G300">
            <v>120</v>
          </cell>
          <cell r="H300">
            <v>9.74E-2</v>
          </cell>
        </row>
        <row r="301">
          <cell r="A301" t="str">
            <v>AL/FL/TX Metro - J.Barri</v>
          </cell>
          <cell r="B301" t="str">
            <v>G. Texas Equity Loan</v>
          </cell>
          <cell r="C301">
            <v>61268359</v>
          </cell>
          <cell r="D301" t="str">
            <v>ACT</v>
          </cell>
          <cell r="E301">
            <v>36084</v>
          </cell>
          <cell r="F301">
            <v>9100</v>
          </cell>
          <cell r="G301">
            <v>84</v>
          </cell>
          <cell r="H301">
            <v>9.74E-2</v>
          </cell>
        </row>
        <row r="302">
          <cell r="A302" t="str">
            <v>AL/FL/TX Metro - J.Barri</v>
          </cell>
          <cell r="B302" t="str">
            <v>G. Texas Equity Loan</v>
          </cell>
          <cell r="C302">
            <v>61265449</v>
          </cell>
          <cell r="D302" t="str">
            <v>ACT</v>
          </cell>
          <cell r="E302">
            <v>36069</v>
          </cell>
          <cell r="F302">
            <v>10000</v>
          </cell>
          <cell r="G302">
            <v>60</v>
          </cell>
          <cell r="H302">
            <v>0.1024</v>
          </cell>
        </row>
        <row r="303">
          <cell r="A303" t="str">
            <v>AL/FL/TX Metro - J.Barri</v>
          </cell>
          <cell r="B303" t="str">
            <v>G. Texas Equity Loan</v>
          </cell>
          <cell r="C303">
            <v>61257861</v>
          </cell>
          <cell r="D303" t="str">
            <v>ACT</v>
          </cell>
          <cell r="E303">
            <v>36062</v>
          </cell>
          <cell r="F303">
            <v>10000</v>
          </cell>
          <cell r="G303">
            <v>60</v>
          </cell>
          <cell r="H303">
            <v>9.74E-2</v>
          </cell>
        </row>
        <row r="304">
          <cell r="A304" t="str">
            <v>AL/FL/TX Metro - J.Barri</v>
          </cell>
          <cell r="B304" t="str">
            <v>G. Texas Equity Loan</v>
          </cell>
          <cell r="C304">
            <v>61309799</v>
          </cell>
          <cell r="D304" t="str">
            <v>NEW</v>
          </cell>
          <cell r="E304">
            <v>36096</v>
          </cell>
          <cell r="F304">
            <v>10000</v>
          </cell>
          <cell r="G304">
            <v>120</v>
          </cell>
          <cell r="H304">
            <v>9.74E-2</v>
          </cell>
        </row>
        <row r="305">
          <cell r="A305" t="str">
            <v>AL/FL/TX Metro - J.Barri</v>
          </cell>
          <cell r="B305" t="str">
            <v>G. Texas Equity Loan</v>
          </cell>
          <cell r="C305">
            <v>61258663</v>
          </cell>
          <cell r="D305" t="str">
            <v>ACT</v>
          </cell>
          <cell r="E305">
            <v>36052</v>
          </cell>
          <cell r="F305">
            <v>10200</v>
          </cell>
          <cell r="G305">
            <v>120</v>
          </cell>
          <cell r="H305">
            <v>9.9900000000000003E-2</v>
          </cell>
        </row>
        <row r="306">
          <cell r="A306" t="str">
            <v>AL/FL/TX Metro - J.Barri</v>
          </cell>
          <cell r="B306" t="str">
            <v>G. Texas Equity Loan</v>
          </cell>
          <cell r="C306">
            <v>61310207</v>
          </cell>
          <cell r="D306" t="str">
            <v>NEW</v>
          </cell>
          <cell r="E306">
            <v>36103</v>
          </cell>
          <cell r="F306">
            <v>10400</v>
          </cell>
          <cell r="G306">
            <v>73</v>
          </cell>
          <cell r="H306">
            <v>9.74E-2</v>
          </cell>
        </row>
        <row r="307">
          <cell r="A307" t="str">
            <v>AL/FL/TX Metro - J.Barri</v>
          </cell>
          <cell r="B307" t="str">
            <v>G. Texas Equity Loan</v>
          </cell>
          <cell r="C307">
            <v>61269169</v>
          </cell>
          <cell r="D307" t="str">
            <v>NEW</v>
          </cell>
          <cell r="E307">
            <v>36084</v>
          </cell>
          <cell r="F307">
            <v>10800</v>
          </cell>
          <cell r="G307">
            <v>60</v>
          </cell>
          <cell r="H307">
            <v>9.74E-2</v>
          </cell>
        </row>
        <row r="308">
          <cell r="A308" t="str">
            <v>AL/FL/TX Metro - J.Barri</v>
          </cell>
          <cell r="B308" t="str">
            <v>G. Texas Equity Loan</v>
          </cell>
          <cell r="C308">
            <v>61267921</v>
          </cell>
          <cell r="D308" t="str">
            <v>ACT</v>
          </cell>
          <cell r="E308">
            <v>36084</v>
          </cell>
          <cell r="F308">
            <v>11000</v>
          </cell>
          <cell r="G308">
            <v>120</v>
          </cell>
          <cell r="H308">
            <v>0.1024</v>
          </cell>
        </row>
        <row r="309">
          <cell r="A309" t="str">
            <v>Texas Community  - A.Burnett</v>
          </cell>
          <cell r="B309" t="str">
            <v>G. Texas Equity Loan</v>
          </cell>
          <cell r="C309">
            <v>61307877</v>
          </cell>
          <cell r="D309" t="str">
            <v>NEW</v>
          </cell>
          <cell r="E309">
            <v>36111</v>
          </cell>
          <cell r="F309">
            <v>11000</v>
          </cell>
          <cell r="G309">
            <v>60</v>
          </cell>
          <cell r="H309">
            <v>9.74E-2</v>
          </cell>
        </row>
        <row r="310">
          <cell r="A310" t="str">
            <v>AL/FL/TX Metro - J.Barri</v>
          </cell>
          <cell r="B310" t="str">
            <v>G. Texas Equity Loan</v>
          </cell>
          <cell r="C310">
            <v>61266348</v>
          </cell>
          <cell r="D310" t="str">
            <v>ACT</v>
          </cell>
          <cell r="E310">
            <v>36060</v>
          </cell>
          <cell r="F310">
            <v>11100</v>
          </cell>
          <cell r="G310">
            <v>60</v>
          </cell>
          <cell r="H310">
            <v>0.1249</v>
          </cell>
        </row>
        <row r="311">
          <cell r="A311" t="str">
            <v>Texas Community  - A.Burnett</v>
          </cell>
          <cell r="B311" t="str">
            <v>G. Texas Equity Loan</v>
          </cell>
          <cell r="C311">
            <v>61258647</v>
          </cell>
          <cell r="D311" t="str">
            <v>ACT</v>
          </cell>
          <cell r="E311">
            <v>36042</v>
          </cell>
          <cell r="F311">
            <v>12000</v>
          </cell>
          <cell r="G311">
            <v>72</v>
          </cell>
          <cell r="H311">
            <v>9.74E-2</v>
          </cell>
        </row>
        <row r="312">
          <cell r="A312" t="str">
            <v>AL/FL/TX Metro - J.Barri</v>
          </cell>
          <cell r="B312" t="str">
            <v>G. Texas Equity Loan</v>
          </cell>
          <cell r="C312">
            <v>61257233</v>
          </cell>
          <cell r="D312" t="str">
            <v>ACT</v>
          </cell>
          <cell r="E312">
            <v>36039</v>
          </cell>
          <cell r="F312">
            <v>12500</v>
          </cell>
          <cell r="G312">
            <v>180</v>
          </cell>
          <cell r="H312">
            <v>9.7500000000000003E-2</v>
          </cell>
        </row>
        <row r="313">
          <cell r="A313" t="str">
            <v>Texas Community  - A.Burnett</v>
          </cell>
          <cell r="B313" t="str">
            <v>G. Texas Equity Loan</v>
          </cell>
          <cell r="C313">
            <v>61266704</v>
          </cell>
          <cell r="D313" t="str">
            <v>ACT</v>
          </cell>
          <cell r="E313">
            <v>36069</v>
          </cell>
          <cell r="F313">
            <v>12500</v>
          </cell>
          <cell r="G313">
            <v>84</v>
          </cell>
          <cell r="H313">
            <v>9.74E-2</v>
          </cell>
        </row>
        <row r="314">
          <cell r="A314" t="str">
            <v>AL/FL/TX Metro - J.Barri</v>
          </cell>
          <cell r="B314" t="str">
            <v>G. Texas Equity Loan</v>
          </cell>
          <cell r="C314">
            <v>61259600</v>
          </cell>
          <cell r="D314" t="str">
            <v>ACT</v>
          </cell>
          <cell r="E314">
            <v>36046</v>
          </cell>
          <cell r="F314">
            <v>13000</v>
          </cell>
          <cell r="G314">
            <v>120</v>
          </cell>
          <cell r="H314">
            <v>9.74E-2</v>
          </cell>
        </row>
        <row r="315">
          <cell r="A315" t="str">
            <v>Texas Community  - A.Burnett</v>
          </cell>
          <cell r="B315" t="str">
            <v>G. Texas Equity Loan</v>
          </cell>
          <cell r="C315">
            <v>61259007</v>
          </cell>
          <cell r="D315" t="str">
            <v>ACT</v>
          </cell>
          <cell r="E315">
            <v>36052</v>
          </cell>
          <cell r="F315">
            <v>13001.24</v>
          </cell>
          <cell r="G315">
            <v>120</v>
          </cell>
          <cell r="H315">
            <v>0.1024</v>
          </cell>
        </row>
        <row r="316">
          <cell r="A316" t="str">
            <v>AL/FL/TX Metro - J.Barri</v>
          </cell>
          <cell r="B316" t="str">
            <v>G. Texas Equity Loan</v>
          </cell>
          <cell r="C316">
            <v>61264582</v>
          </cell>
          <cell r="D316" t="str">
            <v>ACT</v>
          </cell>
          <cell r="E316">
            <v>36073</v>
          </cell>
          <cell r="F316">
            <v>13500</v>
          </cell>
          <cell r="G316">
            <v>84</v>
          </cell>
          <cell r="H316">
            <v>9.9900000000000003E-2</v>
          </cell>
        </row>
        <row r="317">
          <cell r="A317" t="str">
            <v>AL/FL/TX Metro - J.Barri</v>
          </cell>
          <cell r="B317" t="str">
            <v>G. Texas Equity Loan</v>
          </cell>
          <cell r="C317">
            <v>61267859</v>
          </cell>
          <cell r="D317" t="str">
            <v>ACT</v>
          </cell>
          <cell r="E317">
            <v>36077</v>
          </cell>
          <cell r="F317">
            <v>13500</v>
          </cell>
          <cell r="G317">
            <v>120</v>
          </cell>
          <cell r="H317">
            <v>9.74E-2</v>
          </cell>
        </row>
        <row r="318">
          <cell r="A318" t="str">
            <v>Austin Community  - L.Leatherwood</v>
          </cell>
          <cell r="B318" t="str">
            <v>G. Texas Equity Loan</v>
          </cell>
          <cell r="C318">
            <v>61308970</v>
          </cell>
          <cell r="D318" t="str">
            <v>NEW</v>
          </cell>
          <cell r="E318">
            <v>36122</v>
          </cell>
          <cell r="F318">
            <v>13500</v>
          </cell>
          <cell r="G318">
            <v>180</v>
          </cell>
          <cell r="H318">
            <v>0.08</v>
          </cell>
        </row>
        <row r="319">
          <cell r="A319" t="str">
            <v>Texas Community  - A.Burnett</v>
          </cell>
          <cell r="B319" t="str">
            <v>G. Texas Equity Loan</v>
          </cell>
          <cell r="C319">
            <v>61309705</v>
          </cell>
          <cell r="D319" t="str">
            <v>NEW</v>
          </cell>
          <cell r="E319">
            <v>36105</v>
          </cell>
          <cell r="F319">
            <v>14000</v>
          </cell>
          <cell r="G319">
            <v>120</v>
          </cell>
          <cell r="H319">
            <v>9.9900000000000003E-2</v>
          </cell>
        </row>
        <row r="320">
          <cell r="A320" t="str">
            <v>AL/FL/TX Metro - J.Barri</v>
          </cell>
          <cell r="B320" t="str">
            <v>G. Texas Equity Loan</v>
          </cell>
          <cell r="C320">
            <v>61265333</v>
          </cell>
          <cell r="D320" t="str">
            <v>ACT</v>
          </cell>
          <cell r="E320">
            <v>36069</v>
          </cell>
          <cell r="F320">
            <v>14000</v>
          </cell>
          <cell r="G320">
            <v>96</v>
          </cell>
          <cell r="H320">
            <v>9.74E-2</v>
          </cell>
        </row>
        <row r="321">
          <cell r="A321" t="str">
            <v>AL/FL/TX Metro - J.Barri</v>
          </cell>
          <cell r="B321" t="str">
            <v>G. Texas Equity Loan</v>
          </cell>
          <cell r="C321">
            <v>61258272</v>
          </cell>
          <cell r="D321" t="str">
            <v>ACT</v>
          </cell>
          <cell r="E321">
            <v>36048</v>
          </cell>
          <cell r="F321">
            <v>14100</v>
          </cell>
          <cell r="G321">
            <v>180</v>
          </cell>
          <cell r="H321">
            <v>8.7400000000000005E-2</v>
          </cell>
        </row>
        <row r="322">
          <cell r="A322" t="str">
            <v>Texas Community  - A.Burnett</v>
          </cell>
          <cell r="B322" t="str">
            <v>G. Texas Equity Loan</v>
          </cell>
          <cell r="C322">
            <v>61201440</v>
          </cell>
          <cell r="D322" t="str">
            <v>ACT</v>
          </cell>
          <cell r="E322">
            <v>36070</v>
          </cell>
          <cell r="F322">
            <v>14800</v>
          </cell>
          <cell r="G322">
            <v>60</v>
          </cell>
          <cell r="H322">
            <v>9.74E-2</v>
          </cell>
        </row>
        <row r="323">
          <cell r="A323" t="str">
            <v>Texas Community  - A.Burnett</v>
          </cell>
          <cell r="B323" t="str">
            <v>G. Texas Equity Loan</v>
          </cell>
          <cell r="C323">
            <v>61290486</v>
          </cell>
          <cell r="D323" t="str">
            <v>NEW</v>
          </cell>
          <cell r="E323">
            <v>36110</v>
          </cell>
          <cell r="F323">
            <v>15000</v>
          </cell>
          <cell r="G323">
            <v>84</v>
          </cell>
          <cell r="H323">
            <v>0.1</v>
          </cell>
        </row>
        <row r="324">
          <cell r="A324" t="str">
            <v>AL/FL/TX Metro - J.Barri</v>
          </cell>
          <cell r="B324" t="str">
            <v>G. Texas Equity Loan</v>
          </cell>
          <cell r="C324">
            <v>61264612</v>
          </cell>
          <cell r="D324" t="str">
            <v>ACT</v>
          </cell>
          <cell r="E324">
            <v>36068</v>
          </cell>
          <cell r="F324">
            <v>15000</v>
          </cell>
          <cell r="G324">
            <v>119</v>
          </cell>
          <cell r="H324">
            <v>9.9900000000000003E-2</v>
          </cell>
        </row>
        <row r="325">
          <cell r="A325" t="str">
            <v>AL/FL/TX Metro - J.Barri</v>
          </cell>
          <cell r="B325" t="str">
            <v>G. Texas Equity Loan</v>
          </cell>
          <cell r="C325">
            <v>61310312</v>
          </cell>
          <cell r="D325" t="str">
            <v>NEW</v>
          </cell>
          <cell r="E325">
            <v>36098</v>
          </cell>
          <cell r="F325">
            <v>15000</v>
          </cell>
          <cell r="G325">
            <v>120</v>
          </cell>
          <cell r="H325">
            <v>9.74E-2</v>
          </cell>
        </row>
        <row r="326">
          <cell r="A326" t="str">
            <v>AL/FL/TX Metro - J.Barri</v>
          </cell>
          <cell r="B326" t="str">
            <v>G. Texas Equity Loan</v>
          </cell>
          <cell r="C326">
            <v>61267719</v>
          </cell>
          <cell r="D326" t="str">
            <v>ACT</v>
          </cell>
          <cell r="E326">
            <v>36074</v>
          </cell>
          <cell r="F326">
            <v>15000</v>
          </cell>
          <cell r="G326">
            <v>120</v>
          </cell>
          <cell r="H326">
            <v>9.74E-2</v>
          </cell>
        </row>
        <row r="327">
          <cell r="A327" t="str">
            <v>AL/FL/TX Metro - J.Barri</v>
          </cell>
          <cell r="B327" t="str">
            <v>G. Texas Equity Loan</v>
          </cell>
          <cell r="C327">
            <v>61268383</v>
          </cell>
          <cell r="D327" t="str">
            <v>ACT</v>
          </cell>
          <cell r="E327">
            <v>36075</v>
          </cell>
          <cell r="F327">
            <v>15000</v>
          </cell>
          <cell r="G327">
            <v>180</v>
          </cell>
          <cell r="H327">
            <v>9.74E-2</v>
          </cell>
        </row>
        <row r="328">
          <cell r="A328" t="str">
            <v>Texas Community  - A.Burnett</v>
          </cell>
          <cell r="B328" t="str">
            <v>G. Texas Equity Loan</v>
          </cell>
          <cell r="C328">
            <v>61267697</v>
          </cell>
          <cell r="D328" t="str">
            <v>ACT</v>
          </cell>
          <cell r="E328">
            <v>36073</v>
          </cell>
          <cell r="F328">
            <v>15960</v>
          </cell>
          <cell r="G328">
            <v>120</v>
          </cell>
          <cell r="H328">
            <v>9.74E-2</v>
          </cell>
        </row>
        <row r="329">
          <cell r="A329" t="str">
            <v>Austin Community  - L.Leatherwood</v>
          </cell>
          <cell r="B329" t="str">
            <v>G. Texas Equity Loan</v>
          </cell>
          <cell r="C329">
            <v>61265287</v>
          </cell>
          <cell r="D329" t="str">
            <v>ACT</v>
          </cell>
          <cell r="E329">
            <v>36066</v>
          </cell>
          <cell r="F329">
            <v>16000</v>
          </cell>
          <cell r="G329">
            <v>49</v>
          </cell>
          <cell r="H329">
            <v>0.1024</v>
          </cell>
        </row>
        <row r="330">
          <cell r="A330" t="str">
            <v>AL/FL/TX Metro - J.Barri</v>
          </cell>
          <cell r="B330" t="str">
            <v>G. Texas Equity Loan</v>
          </cell>
          <cell r="C330">
            <v>61306889</v>
          </cell>
          <cell r="D330" t="str">
            <v>NEW</v>
          </cell>
          <cell r="E330">
            <v>36102</v>
          </cell>
          <cell r="F330">
            <v>16400</v>
          </cell>
          <cell r="G330">
            <v>120</v>
          </cell>
          <cell r="H330">
            <v>9.74E-2</v>
          </cell>
        </row>
        <row r="331">
          <cell r="A331" t="str">
            <v>AL/FL/TX Metro - J.Barri</v>
          </cell>
          <cell r="B331" t="str">
            <v>G. Texas Equity Loan</v>
          </cell>
          <cell r="C331">
            <v>61146296</v>
          </cell>
          <cell r="D331" t="str">
            <v>ACT</v>
          </cell>
          <cell r="E331">
            <v>36062</v>
          </cell>
          <cell r="F331">
            <v>16445</v>
          </cell>
          <cell r="G331">
            <v>180</v>
          </cell>
          <cell r="H331">
            <v>8.9899999999999994E-2</v>
          </cell>
        </row>
        <row r="332">
          <cell r="A332" t="str">
            <v>AL/FL/TX Metro - J.Barri</v>
          </cell>
          <cell r="B332" t="str">
            <v>G. Texas Equity Loan</v>
          </cell>
          <cell r="C332">
            <v>61257489</v>
          </cell>
          <cell r="D332" t="str">
            <v>ACT</v>
          </cell>
          <cell r="E332">
            <v>36062</v>
          </cell>
          <cell r="F332">
            <v>16455</v>
          </cell>
          <cell r="G332">
            <v>180</v>
          </cell>
          <cell r="H332">
            <v>8.9899999999999994E-2</v>
          </cell>
        </row>
        <row r="333">
          <cell r="A333" t="str">
            <v>AL/FL/TX Metro - J.Barri</v>
          </cell>
          <cell r="B333" t="str">
            <v>G. Texas Equity Loan</v>
          </cell>
          <cell r="C333">
            <v>61310770</v>
          </cell>
          <cell r="D333" t="str">
            <v>NEW</v>
          </cell>
          <cell r="E333">
            <v>36088</v>
          </cell>
          <cell r="F333">
            <v>17000</v>
          </cell>
          <cell r="G333">
            <v>121</v>
          </cell>
          <cell r="H333">
            <v>9.74E-2</v>
          </cell>
        </row>
        <row r="334">
          <cell r="A334" t="str">
            <v>Texas Community  - A.Burnett</v>
          </cell>
          <cell r="B334" t="str">
            <v>G. Texas Equity Loan</v>
          </cell>
          <cell r="C334">
            <v>61259619</v>
          </cell>
          <cell r="D334" t="str">
            <v>CLS</v>
          </cell>
          <cell r="E334">
            <v>36048</v>
          </cell>
          <cell r="F334">
            <v>17500</v>
          </cell>
          <cell r="G334">
            <v>120</v>
          </cell>
          <cell r="H334">
            <v>9.74E-2</v>
          </cell>
        </row>
        <row r="335">
          <cell r="A335" t="str">
            <v>AL/FL/TX Metro - J.Barri</v>
          </cell>
          <cell r="B335" t="str">
            <v>G. Texas Equity Loan</v>
          </cell>
          <cell r="C335">
            <v>61306765</v>
          </cell>
          <cell r="D335" t="str">
            <v>NEW</v>
          </cell>
          <cell r="E335">
            <v>36109</v>
          </cell>
          <cell r="F335">
            <v>18000</v>
          </cell>
          <cell r="G335">
            <v>49</v>
          </cell>
          <cell r="H335">
            <v>0.1024</v>
          </cell>
        </row>
        <row r="336">
          <cell r="A336" t="str">
            <v>AL/FL/TX Metro - J.Barri</v>
          </cell>
          <cell r="B336" t="str">
            <v>G. Texas Equity Loan</v>
          </cell>
          <cell r="C336">
            <v>61257519</v>
          </cell>
          <cell r="D336" t="str">
            <v>MAT</v>
          </cell>
          <cell r="E336">
            <v>36042</v>
          </cell>
          <cell r="F336">
            <v>18000</v>
          </cell>
          <cell r="G336">
            <v>180</v>
          </cell>
          <cell r="H336">
            <v>8.7400000000000005E-2</v>
          </cell>
        </row>
        <row r="337">
          <cell r="A337" t="str">
            <v>AL/FL/TX Metro - J.Barri</v>
          </cell>
          <cell r="B337" t="str">
            <v>G. Texas Equity Loan</v>
          </cell>
          <cell r="C337">
            <v>61265708</v>
          </cell>
          <cell r="D337" t="str">
            <v>ACT</v>
          </cell>
          <cell r="E337">
            <v>36056</v>
          </cell>
          <cell r="F337">
            <v>18500</v>
          </cell>
          <cell r="G337">
            <v>180</v>
          </cell>
          <cell r="H337">
            <v>8.9899999999999994E-2</v>
          </cell>
        </row>
        <row r="338">
          <cell r="A338" t="str">
            <v>AL/FL/TX Metro - J.Barri</v>
          </cell>
          <cell r="B338" t="str">
            <v>G. Texas Equity Loan</v>
          </cell>
          <cell r="C338">
            <v>61258787</v>
          </cell>
          <cell r="D338" t="str">
            <v>ACT</v>
          </cell>
          <cell r="E338">
            <v>36053</v>
          </cell>
          <cell r="F338">
            <v>19000</v>
          </cell>
          <cell r="G338">
            <v>120</v>
          </cell>
          <cell r="H338">
            <v>9.9900000000000003E-2</v>
          </cell>
        </row>
        <row r="339">
          <cell r="A339" t="str">
            <v>AL/FL/TX Metro - J.Barri</v>
          </cell>
          <cell r="B339" t="str">
            <v>G. Texas Equity Loan</v>
          </cell>
          <cell r="C339">
            <v>61311092</v>
          </cell>
          <cell r="D339" t="str">
            <v>NEW</v>
          </cell>
          <cell r="E339">
            <v>36098</v>
          </cell>
          <cell r="F339">
            <v>19900</v>
          </cell>
          <cell r="G339">
            <v>121</v>
          </cell>
          <cell r="H339">
            <v>8.7400000000000005E-2</v>
          </cell>
        </row>
        <row r="340">
          <cell r="A340" t="str">
            <v>AL/FL/TX Metro - J.Barri</v>
          </cell>
          <cell r="B340" t="str">
            <v>G. Texas Equity Loan</v>
          </cell>
          <cell r="C340">
            <v>61266410</v>
          </cell>
          <cell r="D340" t="str">
            <v>ACT</v>
          </cell>
          <cell r="E340">
            <v>36042</v>
          </cell>
          <cell r="F340">
            <v>20000</v>
          </cell>
          <cell r="G340">
            <v>180</v>
          </cell>
          <cell r="H340">
            <v>9.2399999999999996E-2</v>
          </cell>
        </row>
        <row r="341">
          <cell r="A341" t="str">
            <v>AL/FL/TX Metro - J.Barri</v>
          </cell>
          <cell r="B341" t="str">
            <v>G. Texas Equity Loan</v>
          </cell>
          <cell r="C341">
            <v>61259155</v>
          </cell>
          <cell r="D341" t="str">
            <v>ACT</v>
          </cell>
          <cell r="E341">
            <v>36047</v>
          </cell>
          <cell r="F341">
            <v>20000</v>
          </cell>
          <cell r="G341">
            <v>60</v>
          </cell>
          <cell r="H341">
            <v>8.9899999999999994E-2</v>
          </cell>
        </row>
        <row r="342">
          <cell r="A342" t="str">
            <v>AL/FL/TX Metro - J.Barri</v>
          </cell>
          <cell r="B342" t="str">
            <v>G. Texas Equity Loan</v>
          </cell>
          <cell r="C342">
            <v>61267441</v>
          </cell>
          <cell r="D342" t="str">
            <v>ACT</v>
          </cell>
          <cell r="E342">
            <v>36061</v>
          </cell>
          <cell r="F342">
            <v>20000</v>
          </cell>
          <cell r="G342">
            <v>84</v>
          </cell>
          <cell r="H342">
            <v>8.9899999999999994E-2</v>
          </cell>
        </row>
        <row r="343">
          <cell r="A343" t="str">
            <v>Texas Community  - A.Burnett</v>
          </cell>
          <cell r="B343" t="str">
            <v>G. Texas Equity Loan</v>
          </cell>
          <cell r="C343">
            <v>61266747</v>
          </cell>
          <cell r="D343" t="str">
            <v>ACT</v>
          </cell>
          <cell r="E343">
            <v>36054</v>
          </cell>
          <cell r="F343">
            <v>20000</v>
          </cell>
          <cell r="G343">
            <v>60</v>
          </cell>
          <cell r="H343">
            <v>8.7499999999999994E-2</v>
          </cell>
        </row>
        <row r="344">
          <cell r="A344" t="str">
            <v>AL/FL/TX Metro - J.Barri</v>
          </cell>
          <cell r="B344" t="str">
            <v>G. Texas Equity Loan</v>
          </cell>
          <cell r="C344">
            <v>61258736</v>
          </cell>
          <cell r="D344" t="str">
            <v>ACT</v>
          </cell>
          <cell r="E344">
            <v>36056</v>
          </cell>
          <cell r="F344">
            <v>20000</v>
          </cell>
          <cell r="G344">
            <v>60</v>
          </cell>
          <cell r="H344">
            <v>8.7400000000000005E-2</v>
          </cell>
        </row>
        <row r="345">
          <cell r="A345" t="str">
            <v>AL/FL/TX Metro - J.Barri</v>
          </cell>
          <cell r="B345" t="str">
            <v>G. Texas Equity Loan</v>
          </cell>
          <cell r="C345">
            <v>61311785</v>
          </cell>
          <cell r="D345" t="str">
            <v>NEW</v>
          </cell>
          <cell r="E345">
            <v>36091</v>
          </cell>
          <cell r="F345">
            <v>20000</v>
          </cell>
          <cell r="G345">
            <v>120</v>
          </cell>
          <cell r="H345">
            <v>8.7400000000000005E-2</v>
          </cell>
        </row>
        <row r="346">
          <cell r="A346" t="str">
            <v>AL/FL/TX Metro - J.Barri</v>
          </cell>
          <cell r="B346" t="str">
            <v>G. Texas Equity Loan</v>
          </cell>
          <cell r="C346">
            <v>61311947</v>
          </cell>
          <cell r="D346" t="str">
            <v>NEW</v>
          </cell>
          <cell r="E346">
            <v>36094</v>
          </cell>
          <cell r="F346">
            <v>20000</v>
          </cell>
          <cell r="G346">
            <v>180</v>
          </cell>
          <cell r="H346">
            <v>8.7400000000000005E-2</v>
          </cell>
        </row>
        <row r="347">
          <cell r="A347" t="str">
            <v>AL/FL/TX Metro - J.Barri</v>
          </cell>
          <cell r="B347" t="str">
            <v>G. Texas Equity Loan</v>
          </cell>
          <cell r="C347">
            <v>61311262</v>
          </cell>
          <cell r="D347" t="str">
            <v>NEW</v>
          </cell>
          <cell r="E347">
            <v>36063</v>
          </cell>
          <cell r="F347">
            <v>20000</v>
          </cell>
          <cell r="G347">
            <v>120</v>
          </cell>
          <cell r="H347">
            <v>8.7400000000000005E-2</v>
          </cell>
        </row>
        <row r="348">
          <cell r="A348" t="str">
            <v>AL/FL/TX Metro - J.Barri</v>
          </cell>
          <cell r="B348" t="str">
            <v>G. Texas Equity Loan</v>
          </cell>
          <cell r="C348">
            <v>61310762</v>
          </cell>
          <cell r="D348" t="str">
            <v>NEW</v>
          </cell>
          <cell r="E348">
            <v>36095</v>
          </cell>
          <cell r="F348">
            <v>20000</v>
          </cell>
          <cell r="G348">
            <v>181</v>
          </cell>
          <cell r="H348">
            <v>8.7400000000000005E-2</v>
          </cell>
        </row>
        <row r="349">
          <cell r="A349" t="str">
            <v>AL/FL/TX Metro - J.Barri</v>
          </cell>
          <cell r="B349" t="str">
            <v>G. Texas Equity Loan</v>
          </cell>
          <cell r="C349">
            <v>61266933</v>
          </cell>
          <cell r="D349" t="str">
            <v>ACT</v>
          </cell>
          <cell r="E349">
            <v>36080</v>
          </cell>
          <cell r="F349">
            <v>20000</v>
          </cell>
          <cell r="G349">
            <v>84</v>
          </cell>
          <cell r="H349">
            <v>8.7400000000000005E-2</v>
          </cell>
        </row>
        <row r="350">
          <cell r="A350" t="str">
            <v>AL/FL/TX Metro - J.Barri</v>
          </cell>
          <cell r="B350" t="str">
            <v>G. Texas Equity Loan</v>
          </cell>
          <cell r="C350">
            <v>61268693</v>
          </cell>
          <cell r="D350" t="str">
            <v>NEW</v>
          </cell>
          <cell r="E350">
            <v>36091</v>
          </cell>
          <cell r="F350">
            <v>20000</v>
          </cell>
          <cell r="G350">
            <v>180</v>
          </cell>
          <cell r="H350">
            <v>8.7400000000000005E-2</v>
          </cell>
        </row>
        <row r="351">
          <cell r="A351" t="str">
            <v>Texas Community  - A.Burnett</v>
          </cell>
          <cell r="B351" t="str">
            <v>G. Texas Equity Loan</v>
          </cell>
          <cell r="C351">
            <v>61201157</v>
          </cell>
          <cell r="D351" t="str">
            <v>ACT</v>
          </cell>
          <cell r="E351">
            <v>36066</v>
          </cell>
          <cell r="F351">
            <v>20000</v>
          </cell>
          <cell r="G351">
            <v>180</v>
          </cell>
          <cell r="H351">
            <v>8.7400000000000005E-2</v>
          </cell>
        </row>
        <row r="352">
          <cell r="A352" t="str">
            <v>Texas Community  - A.Burnett</v>
          </cell>
          <cell r="B352" t="str">
            <v>G. Texas Equity Loan</v>
          </cell>
          <cell r="C352">
            <v>61258760</v>
          </cell>
          <cell r="D352" t="str">
            <v>ACT</v>
          </cell>
          <cell r="E352">
            <v>36039</v>
          </cell>
          <cell r="F352">
            <v>20000</v>
          </cell>
          <cell r="G352">
            <v>60</v>
          </cell>
          <cell r="H352">
            <v>8.7400000000000005E-2</v>
          </cell>
        </row>
        <row r="353">
          <cell r="A353" t="str">
            <v>AL/FL/TX Metro - J.Barri</v>
          </cell>
          <cell r="B353" t="str">
            <v>G. Texas Equity Loan</v>
          </cell>
          <cell r="C353">
            <v>61259104</v>
          </cell>
          <cell r="D353" t="str">
            <v>ACT</v>
          </cell>
          <cell r="E353">
            <v>36052</v>
          </cell>
          <cell r="F353">
            <v>20000</v>
          </cell>
          <cell r="G353">
            <v>180</v>
          </cell>
          <cell r="H353">
            <v>7.9899999999999999E-2</v>
          </cell>
        </row>
        <row r="354">
          <cell r="A354" t="str">
            <v>AL/FL/TX Metro - J.Barri</v>
          </cell>
          <cell r="B354" t="str">
            <v>G. Texas Equity Loan</v>
          </cell>
          <cell r="C354">
            <v>61268650</v>
          </cell>
          <cell r="D354" t="str">
            <v>ACT</v>
          </cell>
          <cell r="E354">
            <v>36087</v>
          </cell>
          <cell r="F354">
            <v>20000</v>
          </cell>
          <cell r="G354">
            <v>48</v>
          </cell>
          <cell r="H354">
            <v>7.9899999999999999E-2</v>
          </cell>
        </row>
        <row r="355">
          <cell r="A355" t="str">
            <v>Texas Community  - A.Burnett</v>
          </cell>
          <cell r="B355" t="str">
            <v>G. Texas Equity Loan</v>
          </cell>
          <cell r="C355">
            <v>61290834</v>
          </cell>
          <cell r="D355" t="str">
            <v>NEW</v>
          </cell>
          <cell r="E355">
            <v>36102</v>
          </cell>
          <cell r="F355">
            <v>20000</v>
          </cell>
          <cell r="G355">
            <v>180</v>
          </cell>
          <cell r="H355">
            <v>7.9899999999999999E-2</v>
          </cell>
        </row>
        <row r="356">
          <cell r="A356" t="str">
            <v>AL/FL/TX Metro - J.Barri</v>
          </cell>
          <cell r="B356" t="str">
            <v>G. Texas Equity Loan</v>
          </cell>
          <cell r="C356">
            <v>61311661</v>
          </cell>
          <cell r="D356" t="str">
            <v>NEW</v>
          </cell>
          <cell r="E356">
            <v>36096</v>
          </cell>
          <cell r="F356">
            <v>20000</v>
          </cell>
          <cell r="G356">
            <v>180</v>
          </cell>
          <cell r="H356">
            <v>7.7399999999999997E-2</v>
          </cell>
        </row>
        <row r="357">
          <cell r="A357" t="str">
            <v>Texas Community  - A.Burnett</v>
          </cell>
          <cell r="B357" t="str">
            <v>G. Texas Equity Loan</v>
          </cell>
          <cell r="C357">
            <v>61307826</v>
          </cell>
          <cell r="D357" t="str">
            <v>NEW</v>
          </cell>
          <cell r="E357">
            <v>36112</v>
          </cell>
          <cell r="F357">
            <v>20000</v>
          </cell>
          <cell r="G357">
            <v>120</v>
          </cell>
          <cell r="H357">
            <v>7.7399999999999997E-2</v>
          </cell>
        </row>
        <row r="358">
          <cell r="A358" t="str">
            <v>AL/FL/TX Metro - J.Barri</v>
          </cell>
          <cell r="B358" t="str">
            <v>G. Texas Equity Loan</v>
          </cell>
          <cell r="C358">
            <v>61260390</v>
          </cell>
          <cell r="D358" t="str">
            <v>ACT</v>
          </cell>
          <cell r="E358">
            <v>36048</v>
          </cell>
          <cell r="F358">
            <v>20000</v>
          </cell>
          <cell r="G358">
            <v>60</v>
          </cell>
          <cell r="H358">
            <v>7.4899999999999994E-2</v>
          </cell>
        </row>
        <row r="359">
          <cell r="A359" t="str">
            <v>Austin Community  - L.Leatherwood</v>
          </cell>
          <cell r="B359" t="str">
            <v>G. Texas Equity Loan</v>
          </cell>
          <cell r="C359">
            <v>61309543</v>
          </cell>
          <cell r="D359" t="str">
            <v>NEW</v>
          </cell>
          <cell r="E359">
            <v>36104</v>
          </cell>
          <cell r="F359">
            <v>20200</v>
          </cell>
          <cell r="G359">
            <v>180</v>
          </cell>
          <cell r="H359">
            <v>7.7399999999999997E-2</v>
          </cell>
        </row>
        <row r="360">
          <cell r="A360" t="str">
            <v>Texas Community  - A.Burnett</v>
          </cell>
          <cell r="B360" t="str">
            <v>G. Texas Equity Loan</v>
          </cell>
          <cell r="C360">
            <v>61309071</v>
          </cell>
          <cell r="D360" t="str">
            <v>NEW</v>
          </cell>
          <cell r="E360">
            <v>36112</v>
          </cell>
          <cell r="F360">
            <v>20420</v>
          </cell>
          <cell r="G360">
            <v>180</v>
          </cell>
          <cell r="H360">
            <v>7.7399999999999997E-2</v>
          </cell>
        </row>
        <row r="361">
          <cell r="A361" t="str">
            <v>Austin Community  - L.Leatherwood</v>
          </cell>
          <cell r="B361" t="str">
            <v>G. Texas Equity Loan</v>
          </cell>
          <cell r="C361">
            <v>61265651</v>
          </cell>
          <cell r="D361" t="str">
            <v>ACT</v>
          </cell>
          <cell r="E361">
            <v>36068</v>
          </cell>
          <cell r="F361">
            <v>21000</v>
          </cell>
          <cell r="G361">
            <v>180</v>
          </cell>
          <cell r="H361">
            <v>8.7400000000000005E-2</v>
          </cell>
        </row>
        <row r="362">
          <cell r="A362" t="str">
            <v>Austin Community  - L.Leatherwood</v>
          </cell>
          <cell r="B362" t="str">
            <v>G. Texas Equity Loan</v>
          </cell>
          <cell r="C362">
            <v>61259309</v>
          </cell>
          <cell r="D362" t="str">
            <v>ACT</v>
          </cell>
          <cell r="E362">
            <v>36041</v>
          </cell>
          <cell r="F362">
            <v>21000</v>
          </cell>
          <cell r="G362">
            <v>180</v>
          </cell>
          <cell r="H362">
            <v>8.7400000000000005E-2</v>
          </cell>
        </row>
        <row r="363">
          <cell r="A363" t="str">
            <v>AL/FL/TX Metro - J.Barri</v>
          </cell>
          <cell r="B363" t="str">
            <v>G. Texas Equity Loan</v>
          </cell>
          <cell r="C363">
            <v>61310991</v>
          </cell>
          <cell r="D363" t="str">
            <v>NEW</v>
          </cell>
          <cell r="E363">
            <v>36101</v>
          </cell>
          <cell r="F363">
            <v>22000</v>
          </cell>
          <cell r="G363">
            <v>180</v>
          </cell>
          <cell r="H363">
            <v>7.7399999999999997E-2</v>
          </cell>
        </row>
        <row r="364">
          <cell r="A364" t="str">
            <v>AL/FL/TX Metro - J.Barri</v>
          </cell>
          <cell r="B364" t="str">
            <v>G. Texas Equity Loan</v>
          </cell>
          <cell r="C364">
            <v>61266763</v>
          </cell>
          <cell r="D364" t="str">
            <v>ACT</v>
          </cell>
          <cell r="E364">
            <v>36076</v>
          </cell>
          <cell r="F364">
            <v>22800</v>
          </cell>
          <cell r="G364">
            <v>180</v>
          </cell>
          <cell r="H364">
            <v>9.2399999999999996E-2</v>
          </cell>
        </row>
        <row r="365">
          <cell r="A365" t="str">
            <v>Texas Community  - A.Burnett</v>
          </cell>
          <cell r="B365" t="str">
            <v>G. Texas Equity Loan</v>
          </cell>
          <cell r="C365">
            <v>50096858</v>
          </cell>
          <cell r="D365" t="str">
            <v>ACT</v>
          </cell>
          <cell r="E365">
            <v>36056</v>
          </cell>
          <cell r="F365">
            <v>23000</v>
          </cell>
          <cell r="G365">
            <v>84</v>
          </cell>
          <cell r="H365">
            <v>9.4899999999999998E-2</v>
          </cell>
        </row>
        <row r="366">
          <cell r="A366" t="str">
            <v>Texas Community  - A.Burnett</v>
          </cell>
          <cell r="B366" t="str">
            <v>G. Texas Equity Loan</v>
          </cell>
          <cell r="C366">
            <v>61268227</v>
          </cell>
          <cell r="D366" t="str">
            <v>ACT</v>
          </cell>
          <cell r="E366">
            <v>36081</v>
          </cell>
          <cell r="F366">
            <v>24400</v>
          </cell>
          <cell r="G366">
            <v>180</v>
          </cell>
          <cell r="H366">
            <v>9.2399999999999996E-2</v>
          </cell>
        </row>
        <row r="367">
          <cell r="A367" t="str">
            <v>AL/FL/TX Metro - J.Barri</v>
          </cell>
          <cell r="B367" t="str">
            <v>G. Texas Equity Loan</v>
          </cell>
          <cell r="C367">
            <v>61306935</v>
          </cell>
          <cell r="D367" t="str">
            <v>NEW</v>
          </cell>
          <cell r="E367">
            <v>36063</v>
          </cell>
          <cell r="F367">
            <v>24700</v>
          </cell>
          <cell r="G367">
            <v>180</v>
          </cell>
          <cell r="H367">
            <v>8.7400000000000005E-2</v>
          </cell>
        </row>
        <row r="368">
          <cell r="A368" t="str">
            <v>AL/FL/TX Metro - J.Barri</v>
          </cell>
          <cell r="B368" t="str">
            <v>G. Texas Equity Loan</v>
          </cell>
          <cell r="C368">
            <v>61269762</v>
          </cell>
          <cell r="D368" t="str">
            <v>ACT</v>
          </cell>
          <cell r="E368">
            <v>36082</v>
          </cell>
          <cell r="F368">
            <v>25000</v>
          </cell>
          <cell r="G368">
            <v>85</v>
          </cell>
          <cell r="H368">
            <v>9.2399999999999996E-2</v>
          </cell>
        </row>
        <row r="369">
          <cell r="A369" t="str">
            <v>AL/FL/TX Metro - J.Barri</v>
          </cell>
          <cell r="B369" t="str">
            <v>G. Texas Equity Loan</v>
          </cell>
          <cell r="C369">
            <v>61266453</v>
          </cell>
          <cell r="D369" t="str">
            <v>ACT</v>
          </cell>
          <cell r="E369">
            <v>36061</v>
          </cell>
          <cell r="F369">
            <v>25000</v>
          </cell>
          <cell r="G369">
            <v>180</v>
          </cell>
          <cell r="H369">
            <v>8.9899999999999994E-2</v>
          </cell>
        </row>
        <row r="370">
          <cell r="A370" t="str">
            <v>AL/FL/TX Metro - J.Barri</v>
          </cell>
          <cell r="B370" t="str">
            <v>G. Texas Equity Loan</v>
          </cell>
          <cell r="C370">
            <v>61258329</v>
          </cell>
          <cell r="D370" t="str">
            <v>ACT</v>
          </cell>
          <cell r="E370">
            <v>36052</v>
          </cell>
          <cell r="F370">
            <v>25000</v>
          </cell>
          <cell r="G370">
            <v>60</v>
          </cell>
          <cell r="H370">
            <v>8.9899999999999994E-2</v>
          </cell>
        </row>
        <row r="371">
          <cell r="A371" t="str">
            <v>AL/FL/TX Metro - J.Barri</v>
          </cell>
          <cell r="B371" t="str">
            <v>G. Texas Equity Loan</v>
          </cell>
          <cell r="C371">
            <v>61258604</v>
          </cell>
          <cell r="D371" t="str">
            <v>ACT</v>
          </cell>
          <cell r="E371">
            <v>36049</v>
          </cell>
          <cell r="F371">
            <v>25000</v>
          </cell>
          <cell r="G371">
            <v>144</v>
          </cell>
          <cell r="H371">
            <v>8.9899999999999994E-2</v>
          </cell>
        </row>
        <row r="372">
          <cell r="A372" t="str">
            <v>Texas Community  - A.Burnett</v>
          </cell>
          <cell r="B372" t="str">
            <v>G. Texas Equity Loan</v>
          </cell>
          <cell r="C372">
            <v>61259724</v>
          </cell>
          <cell r="D372" t="str">
            <v>ACT</v>
          </cell>
          <cell r="E372">
            <v>36048</v>
          </cell>
          <cell r="F372">
            <v>25000</v>
          </cell>
          <cell r="G372">
            <v>180</v>
          </cell>
          <cell r="H372">
            <v>8.9899999999999994E-2</v>
          </cell>
        </row>
        <row r="373">
          <cell r="A373" t="str">
            <v>AL/FL/TX Metro - J.Barri</v>
          </cell>
          <cell r="B373" t="str">
            <v>G. Texas Equity Loan</v>
          </cell>
          <cell r="C373">
            <v>61260250</v>
          </cell>
          <cell r="D373" t="str">
            <v>ACT</v>
          </cell>
          <cell r="E373">
            <v>36041</v>
          </cell>
          <cell r="F373">
            <v>25000</v>
          </cell>
          <cell r="G373">
            <v>180</v>
          </cell>
          <cell r="H373">
            <v>8.7400000000000005E-2</v>
          </cell>
        </row>
        <row r="374">
          <cell r="A374" t="str">
            <v>AL/FL/TX Metro - J.Barri</v>
          </cell>
          <cell r="B374" t="str">
            <v>G. Texas Equity Loan</v>
          </cell>
          <cell r="C374">
            <v>61265562</v>
          </cell>
          <cell r="D374" t="str">
            <v>ACT</v>
          </cell>
          <cell r="E374">
            <v>36070</v>
          </cell>
          <cell r="F374">
            <v>25000</v>
          </cell>
          <cell r="G374">
            <v>60</v>
          </cell>
          <cell r="H374">
            <v>8.7400000000000005E-2</v>
          </cell>
        </row>
        <row r="375">
          <cell r="A375" t="str">
            <v>AL/FL/TX Metro - J.Barri</v>
          </cell>
          <cell r="B375" t="str">
            <v>G. Texas Equity Loan</v>
          </cell>
          <cell r="C375">
            <v>61265023</v>
          </cell>
          <cell r="D375" t="str">
            <v>ACT</v>
          </cell>
          <cell r="E375">
            <v>36076</v>
          </cell>
          <cell r="F375">
            <v>25000</v>
          </cell>
          <cell r="G375">
            <v>180</v>
          </cell>
          <cell r="H375">
            <v>8.7400000000000005E-2</v>
          </cell>
        </row>
        <row r="376">
          <cell r="A376" t="str">
            <v>AL/FL/TX Metro - J.Barri</v>
          </cell>
          <cell r="B376" t="str">
            <v>G. Texas Equity Loan</v>
          </cell>
          <cell r="C376">
            <v>61257837</v>
          </cell>
          <cell r="D376" t="str">
            <v>ACT</v>
          </cell>
          <cell r="E376">
            <v>36040</v>
          </cell>
          <cell r="F376">
            <v>25000</v>
          </cell>
          <cell r="G376">
            <v>180</v>
          </cell>
          <cell r="H376">
            <v>8.7400000000000005E-2</v>
          </cell>
        </row>
        <row r="377">
          <cell r="A377" t="str">
            <v>AL/FL/TX Metro - J.Barri</v>
          </cell>
          <cell r="B377" t="str">
            <v>G. Texas Equity Loan</v>
          </cell>
          <cell r="C377">
            <v>61266860</v>
          </cell>
          <cell r="D377" t="str">
            <v>ACT</v>
          </cell>
          <cell r="E377">
            <v>36067</v>
          </cell>
          <cell r="F377">
            <v>25000</v>
          </cell>
          <cell r="G377">
            <v>120</v>
          </cell>
          <cell r="H377">
            <v>8.7400000000000005E-2</v>
          </cell>
        </row>
        <row r="378">
          <cell r="A378" t="str">
            <v>Austin Community  - L.Leatherwood</v>
          </cell>
          <cell r="B378" t="str">
            <v>G. Texas Equity Loan</v>
          </cell>
          <cell r="C378">
            <v>61257497</v>
          </cell>
          <cell r="D378" t="str">
            <v>ACT</v>
          </cell>
          <cell r="E378">
            <v>36059</v>
          </cell>
          <cell r="F378">
            <v>25000</v>
          </cell>
          <cell r="G378">
            <v>181</v>
          </cell>
          <cell r="H378">
            <v>8.7400000000000005E-2</v>
          </cell>
        </row>
        <row r="379">
          <cell r="A379" t="str">
            <v>AL/FL/TX Metro - J.Barri</v>
          </cell>
          <cell r="B379" t="str">
            <v>G. Texas Equity Loan</v>
          </cell>
          <cell r="C379">
            <v>61201556</v>
          </cell>
          <cell r="D379" t="str">
            <v>ACT</v>
          </cell>
          <cell r="E379">
            <v>36055</v>
          </cell>
          <cell r="F379">
            <v>25000</v>
          </cell>
          <cell r="G379">
            <v>180</v>
          </cell>
          <cell r="H379">
            <v>7.9899999999999999E-2</v>
          </cell>
        </row>
        <row r="380">
          <cell r="A380" t="str">
            <v>AL/FL/TX Metro - J.Barri</v>
          </cell>
          <cell r="B380" t="str">
            <v>G. Texas Equity Loan</v>
          </cell>
          <cell r="C380">
            <v>61310495</v>
          </cell>
          <cell r="D380" t="str">
            <v>NEW</v>
          </cell>
          <cell r="E380">
            <v>36102</v>
          </cell>
          <cell r="F380">
            <v>25000</v>
          </cell>
          <cell r="G380">
            <v>180</v>
          </cell>
          <cell r="H380">
            <v>7.9899999999999999E-2</v>
          </cell>
        </row>
        <row r="381">
          <cell r="A381" t="str">
            <v>Texas Community  - A.Burnett</v>
          </cell>
          <cell r="B381" t="str">
            <v>G. Texas Equity Loan</v>
          </cell>
          <cell r="C381">
            <v>61310622</v>
          </cell>
          <cell r="D381" t="str">
            <v>NEW</v>
          </cell>
          <cell r="E381">
            <v>36091</v>
          </cell>
          <cell r="F381">
            <v>25000</v>
          </cell>
          <cell r="G381">
            <v>60</v>
          </cell>
          <cell r="H381">
            <v>7.9899999999999999E-2</v>
          </cell>
        </row>
        <row r="382">
          <cell r="A382" t="str">
            <v>Texas Community  - A.Burnett</v>
          </cell>
          <cell r="B382" t="str">
            <v>G. Texas Equity Loan</v>
          </cell>
          <cell r="C382">
            <v>61269797</v>
          </cell>
          <cell r="D382" t="str">
            <v>NEW</v>
          </cell>
          <cell r="E382">
            <v>36091</v>
          </cell>
          <cell r="F382">
            <v>25000</v>
          </cell>
          <cell r="G382">
            <v>60</v>
          </cell>
          <cell r="H382">
            <v>7.9899999999999999E-2</v>
          </cell>
        </row>
        <row r="383">
          <cell r="A383" t="str">
            <v>AL/FL/TX Metro - J.Barri</v>
          </cell>
          <cell r="B383" t="str">
            <v>G. Texas Equity Loan</v>
          </cell>
          <cell r="C383">
            <v>61266518</v>
          </cell>
          <cell r="D383" t="str">
            <v>ACT</v>
          </cell>
          <cell r="E383">
            <v>36081</v>
          </cell>
          <cell r="F383">
            <v>25000</v>
          </cell>
          <cell r="G383">
            <v>181</v>
          </cell>
          <cell r="H383">
            <v>7.7399999999999997E-2</v>
          </cell>
        </row>
        <row r="384">
          <cell r="A384" t="str">
            <v>AL/FL/TX Metro - J.Barri</v>
          </cell>
          <cell r="B384" t="str">
            <v>G. Texas Equity Loan</v>
          </cell>
          <cell r="C384">
            <v>61310592</v>
          </cell>
          <cell r="D384" t="str">
            <v>NEW</v>
          </cell>
          <cell r="E384">
            <v>36102</v>
          </cell>
          <cell r="F384">
            <v>25000</v>
          </cell>
          <cell r="G384">
            <v>180</v>
          </cell>
          <cell r="H384">
            <v>7.7399999999999997E-2</v>
          </cell>
        </row>
        <row r="385">
          <cell r="A385" t="str">
            <v>AL/FL/TX Metro - J.Barri</v>
          </cell>
          <cell r="B385" t="str">
            <v>G. Texas Equity Loan</v>
          </cell>
          <cell r="C385">
            <v>61290109</v>
          </cell>
          <cell r="D385" t="str">
            <v>NEW</v>
          </cell>
          <cell r="E385">
            <v>36112</v>
          </cell>
          <cell r="F385">
            <v>25000</v>
          </cell>
          <cell r="G385">
            <v>121</v>
          </cell>
          <cell r="H385">
            <v>7.7399999999999997E-2</v>
          </cell>
        </row>
        <row r="386">
          <cell r="A386" t="str">
            <v>AL/FL/TX Metro - J.Barri</v>
          </cell>
          <cell r="B386" t="str">
            <v>G. Texas Equity Loan</v>
          </cell>
          <cell r="C386">
            <v>61310606</v>
          </cell>
          <cell r="D386" t="str">
            <v>NEW</v>
          </cell>
          <cell r="E386">
            <v>36099</v>
          </cell>
          <cell r="F386">
            <v>26000</v>
          </cell>
          <cell r="G386">
            <v>36</v>
          </cell>
          <cell r="H386">
            <v>8.7400000000000005E-2</v>
          </cell>
        </row>
        <row r="387">
          <cell r="A387" t="str">
            <v>AL/FL/TX Metro - J.Barri</v>
          </cell>
          <cell r="B387" t="str">
            <v>G. Texas Equity Loan</v>
          </cell>
          <cell r="C387">
            <v>61264914</v>
          </cell>
          <cell r="D387" t="str">
            <v>ACT</v>
          </cell>
          <cell r="E387">
            <v>36066</v>
          </cell>
          <cell r="F387">
            <v>26197</v>
          </cell>
          <cell r="G387">
            <v>181</v>
          </cell>
          <cell r="H387">
            <v>8.7400000000000005E-2</v>
          </cell>
        </row>
        <row r="388">
          <cell r="A388" t="str">
            <v>AL/FL/TX Metro - J.Barri</v>
          </cell>
          <cell r="B388" t="str">
            <v>G. Texas Equity Loan</v>
          </cell>
          <cell r="C388">
            <v>61265996</v>
          </cell>
          <cell r="D388" t="str">
            <v>ACT</v>
          </cell>
          <cell r="E388">
            <v>36063</v>
          </cell>
          <cell r="F388">
            <v>26400</v>
          </cell>
          <cell r="G388">
            <v>181</v>
          </cell>
          <cell r="H388">
            <v>8.7400000000000005E-2</v>
          </cell>
        </row>
        <row r="389">
          <cell r="A389" t="str">
            <v>AL/FL/TX Metro - J.Barri</v>
          </cell>
          <cell r="B389" t="str">
            <v>G. Texas Equity Loan</v>
          </cell>
          <cell r="C389">
            <v>61268847</v>
          </cell>
          <cell r="D389" t="str">
            <v>NEW</v>
          </cell>
          <cell r="E389">
            <v>36094</v>
          </cell>
          <cell r="F389">
            <v>28000</v>
          </cell>
          <cell r="G389">
            <v>120</v>
          </cell>
          <cell r="H389">
            <v>8.7400000000000005E-2</v>
          </cell>
        </row>
        <row r="390">
          <cell r="A390" t="str">
            <v>AL/FL/TX Metro - J.Barri</v>
          </cell>
          <cell r="B390" t="str">
            <v>G. Texas Equity Loan</v>
          </cell>
          <cell r="C390">
            <v>61268766</v>
          </cell>
          <cell r="D390" t="str">
            <v>ACT</v>
          </cell>
          <cell r="E390">
            <v>36084</v>
          </cell>
          <cell r="F390">
            <v>28000</v>
          </cell>
          <cell r="G390">
            <v>180</v>
          </cell>
          <cell r="H390">
            <v>7.7399999999999997E-2</v>
          </cell>
        </row>
        <row r="391">
          <cell r="A391" t="str">
            <v>AL/FL/TX Metro - J.Barri</v>
          </cell>
          <cell r="B391" t="str">
            <v>G. Texas Equity Loan</v>
          </cell>
          <cell r="C391">
            <v>61259899</v>
          </cell>
          <cell r="D391" t="str">
            <v>ACT</v>
          </cell>
          <cell r="E391">
            <v>36052</v>
          </cell>
          <cell r="F391">
            <v>29000</v>
          </cell>
          <cell r="G391">
            <v>181</v>
          </cell>
          <cell r="H391">
            <v>8.2500000000000004E-2</v>
          </cell>
        </row>
        <row r="392">
          <cell r="A392" t="str">
            <v>AL/FL/TX Metro - J.Barri</v>
          </cell>
          <cell r="B392" t="str">
            <v>G. Texas Equity Loan</v>
          </cell>
          <cell r="C392">
            <v>61265503</v>
          </cell>
          <cell r="D392" t="str">
            <v>ACT</v>
          </cell>
          <cell r="E392">
            <v>36068</v>
          </cell>
          <cell r="F392">
            <v>29000</v>
          </cell>
          <cell r="G392">
            <v>180</v>
          </cell>
          <cell r="H392">
            <v>7.7399999999999997E-2</v>
          </cell>
        </row>
        <row r="393">
          <cell r="A393" t="str">
            <v>AL/FL/TX Metro - J.Barri</v>
          </cell>
          <cell r="B393" t="str">
            <v>G. Texas Equity Loan</v>
          </cell>
          <cell r="C393">
            <v>61306897</v>
          </cell>
          <cell r="D393" t="str">
            <v>NEW</v>
          </cell>
          <cell r="E393">
            <v>36112</v>
          </cell>
          <cell r="F393">
            <v>29000</v>
          </cell>
          <cell r="G393">
            <v>60</v>
          </cell>
          <cell r="H393">
            <v>7.7399999999999997E-2</v>
          </cell>
        </row>
        <row r="394">
          <cell r="A394" t="str">
            <v>AL/FL/TX Metro - J.Barri</v>
          </cell>
          <cell r="B394" t="str">
            <v>G. Texas Equity Loan</v>
          </cell>
          <cell r="C394">
            <v>61311831</v>
          </cell>
          <cell r="D394" t="str">
            <v>NEW</v>
          </cell>
          <cell r="E394">
            <v>36088</v>
          </cell>
          <cell r="F394">
            <v>29077</v>
          </cell>
          <cell r="G394">
            <v>84</v>
          </cell>
          <cell r="H394">
            <v>7.9899999999999999E-2</v>
          </cell>
        </row>
        <row r="395">
          <cell r="A395" t="str">
            <v>Texas Community  - A.Burnett</v>
          </cell>
          <cell r="B395" t="str">
            <v>G. Texas Equity Loan</v>
          </cell>
          <cell r="C395">
            <v>61290540</v>
          </cell>
          <cell r="D395" t="str">
            <v>NEW</v>
          </cell>
          <cell r="E395">
            <v>36111</v>
          </cell>
          <cell r="F395">
            <v>29780</v>
          </cell>
          <cell r="G395">
            <v>180</v>
          </cell>
          <cell r="H395">
            <v>7.9899999999999999E-2</v>
          </cell>
        </row>
        <row r="396">
          <cell r="A396" t="str">
            <v>AL/FL/TX Metro - J.Barri</v>
          </cell>
          <cell r="B396" t="str">
            <v>G. Texas Equity Loan</v>
          </cell>
          <cell r="C396">
            <v>61267727</v>
          </cell>
          <cell r="D396" t="str">
            <v>ACT</v>
          </cell>
          <cell r="E396">
            <v>36083</v>
          </cell>
          <cell r="F396">
            <v>29861</v>
          </cell>
          <cell r="G396">
            <v>120</v>
          </cell>
          <cell r="H396">
            <v>8.7400000000000005E-2</v>
          </cell>
        </row>
        <row r="397">
          <cell r="A397" t="str">
            <v>AL/FL/TX Metro - J.Barri</v>
          </cell>
          <cell r="B397" t="str">
            <v>G. Texas Equity Loan</v>
          </cell>
          <cell r="C397">
            <v>61266445</v>
          </cell>
          <cell r="D397" t="str">
            <v>NEW</v>
          </cell>
          <cell r="E397">
            <v>36075</v>
          </cell>
          <cell r="F397">
            <v>30000</v>
          </cell>
          <cell r="G397">
            <v>60</v>
          </cell>
          <cell r="H397">
            <v>8.7400000000000005E-2</v>
          </cell>
        </row>
        <row r="398">
          <cell r="A398" t="str">
            <v>AL/FL/TX Metro - J.Barri</v>
          </cell>
          <cell r="B398" t="str">
            <v>G. Texas Equity Loan</v>
          </cell>
          <cell r="C398">
            <v>61259481</v>
          </cell>
          <cell r="D398" t="str">
            <v>ACT</v>
          </cell>
          <cell r="E398">
            <v>36039</v>
          </cell>
          <cell r="F398">
            <v>30000</v>
          </cell>
          <cell r="G398">
            <v>120</v>
          </cell>
          <cell r="H398">
            <v>8.7400000000000005E-2</v>
          </cell>
        </row>
        <row r="399">
          <cell r="A399" t="str">
            <v>AL/FL/TX Metro - J.Barri</v>
          </cell>
          <cell r="B399" t="str">
            <v>G. Texas Equity Loan</v>
          </cell>
          <cell r="C399">
            <v>61259775</v>
          </cell>
          <cell r="D399" t="str">
            <v>ACT</v>
          </cell>
          <cell r="E399">
            <v>36046</v>
          </cell>
          <cell r="F399">
            <v>30000</v>
          </cell>
          <cell r="G399">
            <v>120</v>
          </cell>
          <cell r="H399">
            <v>8.7400000000000005E-2</v>
          </cell>
        </row>
        <row r="400">
          <cell r="A400" t="str">
            <v>AL/FL/TX Metro - J.Barri</v>
          </cell>
          <cell r="B400" t="str">
            <v>G. Texas Equity Loan</v>
          </cell>
          <cell r="C400">
            <v>61258914</v>
          </cell>
          <cell r="D400" t="str">
            <v>ACT</v>
          </cell>
          <cell r="E400">
            <v>36049</v>
          </cell>
          <cell r="F400">
            <v>30000</v>
          </cell>
          <cell r="G400">
            <v>120</v>
          </cell>
          <cell r="H400">
            <v>8.7400000000000005E-2</v>
          </cell>
        </row>
        <row r="401">
          <cell r="A401" t="str">
            <v>Austin Community  - L.Leatherwood</v>
          </cell>
          <cell r="B401" t="str">
            <v>G. Texas Equity Loan</v>
          </cell>
          <cell r="C401">
            <v>61201491</v>
          </cell>
          <cell r="D401" t="str">
            <v>ACT</v>
          </cell>
          <cell r="E401">
            <v>36070</v>
          </cell>
          <cell r="F401">
            <v>30000</v>
          </cell>
          <cell r="G401">
            <v>180</v>
          </cell>
          <cell r="H401">
            <v>8.7400000000000005E-2</v>
          </cell>
        </row>
        <row r="402">
          <cell r="A402" t="str">
            <v>AL/FL/TX Metro - J.Barri</v>
          </cell>
          <cell r="B402" t="str">
            <v>G. Texas Equity Loan</v>
          </cell>
          <cell r="C402">
            <v>61311904</v>
          </cell>
          <cell r="D402" t="str">
            <v>NEW</v>
          </cell>
          <cell r="E402">
            <v>36097</v>
          </cell>
          <cell r="F402">
            <v>30000</v>
          </cell>
          <cell r="G402">
            <v>180</v>
          </cell>
          <cell r="H402">
            <v>8.2400000000000001E-2</v>
          </cell>
        </row>
        <row r="403">
          <cell r="A403" t="str">
            <v>AL/FL/TX Metro - J.Barri</v>
          </cell>
          <cell r="B403" t="str">
            <v>G. Texas Equity Loan</v>
          </cell>
          <cell r="C403">
            <v>61257454</v>
          </cell>
          <cell r="D403" t="str">
            <v>ACT</v>
          </cell>
          <cell r="E403">
            <v>36042</v>
          </cell>
          <cell r="F403">
            <v>30000</v>
          </cell>
          <cell r="G403">
            <v>36</v>
          </cell>
          <cell r="H403">
            <v>7.7399999999999997E-2</v>
          </cell>
        </row>
        <row r="404">
          <cell r="A404" t="str">
            <v>AL/FL/TX Metro - J.Barri</v>
          </cell>
          <cell r="B404" t="str">
            <v>G. Texas Equity Loan</v>
          </cell>
          <cell r="C404">
            <v>61306943</v>
          </cell>
          <cell r="D404" t="str">
            <v>NEW</v>
          </cell>
          <cell r="E404">
            <v>36108</v>
          </cell>
          <cell r="F404">
            <v>30000</v>
          </cell>
          <cell r="G404">
            <v>180</v>
          </cell>
          <cell r="H404">
            <v>7.7399999999999997E-2</v>
          </cell>
        </row>
        <row r="405">
          <cell r="A405" t="str">
            <v>AL/FL/TX Metro - J.Barri</v>
          </cell>
          <cell r="B405" t="str">
            <v>G. Texas Equity Loan</v>
          </cell>
          <cell r="C405">
            <v>61290753</v>
          </cell>
          <cell r="D405" t="str">
            <v>NEW</v>
          </cell>
          <cell r="E405">
            <v>36108</v>
          </cell>
          <cell r="F405">
            <v>30000</v>
          </cell>
          <cell r="G405">
            <v>120</v>
          </cell>
          <cell r="H405">
            <v>7.4899999999999994E-2</v>
          </cell>
        </row>
        <row r="406">
          <cell r="A406" t="str">
            <v>AL/FL/TX Metro - J.Barri</v>
          </cell>
          <cell r="B406" t="str">
            <v>G. Texas Equity Loan</v>
          </cell>
          <cell r="C406">
            <v>61267662</v>
          </cell>
          <cell r="D406" t="str">
            <v>ACT</v>
          </cell>
          <cell r="E406">
            <v>36084</v>
          </cell>
          <cell r="F406">
            <v>30000</v>
          </cell>
          <cell r="G406">
            <v>121</v>
          </cell>
          <cell r="H406">
            <v>0</v>
          </cell>
        </row>
        <row r="407">
          <cell r="A407" t="str">
            <v>AL/FL/TX Metro - J.Barri</v>
          </cell>
          <cell r="B407" t="str">
            <v>G. Texas Equity Loan</v>
          </cell>
          <cell r="C407">
            <v>61311491</v>
          </cell>
          <cell r="D407" t="str">
            <v>NEW</v>
          </cell>
          <cell r="E407">
            <v>36091</v>
          </cell>
          <cell r="F407">
            <v>30800</v>
          </cell>
          <cell r="G407">
            <v>61</v>
          </cell>
          <cell r="H407">
            <v>8.7400000000000005E-2</v>
          </cell>
        </row>
        <row r="408">
          <cell r="A408" t="str">
            <v>AL/FL/TX Metro - J.Barri</v>
          </cell>
          <cell r="B408" t="str">
            <v>G. Texas Equity Loan</v>
          </cell>
          <cell r="C408">
            <v>61267433</v>
          </cell>
          <cell r="D408" t="str">
            <v>ACT</v>
          </cell>
          <cell r="E408">
            <v>36083</v>
          </cell>
          <cell r="F408">
            <v>31000</v>
          </cell>
          <cell r="G408">
            <v>60</v>
          </cell>
          <cell r="H408">
            <v>8.7400000000000005E-2</v>
          </cell>
        </row>
        <row r="409">
          <cell r="A409" t="str">
            <v>AL/FL/TX Metro - J.Barri</v>
          </cell>
          <cell r="B409" t="str">
            <v>G. Texas Equity Loan</v>
          </cell>
          <cell r="C409">
            <v>61309748</v>
          </cell>
          <cell r="D409" t="str">
            <v>NEW</v>
          </cell>
          <cell r="E409">
            <v>36103</v>
          </cell>
          <cell r="F409">
            <v>31000</v>
          </cell>
          <cell r="G409">
            <v>180</v>
          </cell>
          <cell r="H409">
            <v>7.7399999999999997E-2</v>
          </cell>
        </row>
        <row r="410">
          <cell r="A410" t="str">
            <v>AL/FL/TX Metro - J.Barri</v>
          </cell>
          <cell r="B410" t="str">
            <v>G. Texas Equity Loan</v>
          </cell>
          <cell r="C410">
            <v>61260242</v>
          </cell>
          <cell r="D410" t="str">
            <v>ACT</v>
          </cell>
          <cell r="E410">
            <v>36055</v>
          </cell>
          <cell r="F410">
            <v>31100</v>
          </cell>
          <cell r="G410">
            <v>120</v>
          </cell>
          <cell r="H410">
            <v>8.9899999999999994E-2</v>
          </cell>
        </row>
        <row r="411">
          <cell r="A411" t="str">
            <v>AL/FL/TX Metro - J.Barri</v>
          </cell>
          <cell r="B411" t="str">
            <v>G. Texas Equity Loan</v>
          </cell>
          <cell r="C411">
            <v>61258205</v>
          </cell>
          <cell r="D411" t="str">
            <v>ACT</v>
          </cell>
          <cell r="E411">
            <v>36046</v>
          </cell>
          <cell r="F411">
            <v>32000</v>
          </cell>
          <cell r="G411">
            <v>180</v>
          </cell>
          <cell r="H411">
            <v>8.9899999999999994E-2</v>
          </cell>
        </row>
        <row r="412">
          <cell r="A412" t="str">
            <v>AL/FL/TX Metro - J.Barri</v>
          </cell>
          <cell r="B412" t="str">
            <v>G. Texas Equity Loan</v>
          </cell>
          <cell r="C412">
            <v>61268774</v>
          </cell>
          <cell r="D412" t="str">
            <v>ACT</v>
          </cell>
          <cell r="E412">
            <v>36089</v>
          </cell>
          <cell r="F412">
            <v>32000</v>
          </cell>
          <cell r="G412">
            <v>180</v>
          </cell>
          <cell r="H412">
            <v>7.7399999999999997E-2</v>
          </cell>
        </row>
        <row r="413">
          <cell r="A413" t="str">
            <v>Texas Community  - A.Burnett</v>
          </cell>
          <cell r="B413" t="str">
            <v>G. Texas Equity Loan</v>
          </cell>
          <cell r="C413">
            <v>61309144</v>
          </cell>
          <cell r="D413" t="str">
            <v>NEW</v>
          </cell>
          <cell r="E413">
            <v>36119</v>
          </cell>
          <cell r="F413">
            <v>32000</v>
          </cell>
          <cell r="G413">
            <v>180</v>
          </cell>
          <cell r="H413">
            <v>7.7399999999999997E-2</v>
          </cell>
        </row>
        <row r="414">
          <cell r="A414" t="str">
            <v>AL/FL/TX Metro - J.Barri</v>
          </cell>
          <cell r="B414" t="str">
            <v>G. Texas Equity Loan</v>
          </cell>
          <cell r="C414">
            <v>61267573</v>
          </cell>
          <cell r="D414" t="str">
            <v>ACT</v>
          </cell>
          <cell r="E414">
            <v>36059</v>
          </cell>
          <cell r="F414">
            <v>32500</v>
          </cell>
          <cell r="G414">
            <v>180</v>
          </cell>
          <cell r="H414">
            <v>8.7400000000000005E-2</v>
          </cell>
        </row>
        <row r="415">
          <cell r="A415" t="str">
            <v>Texas Community  - A.Burnett</v>
          </cell>
          <cell r="B415" t="str">
            <v>G. Texas Equity Loan</v>
          </cell>
          <cell r="C415">
            <v>61265864</v>
          </cell>
          <cell r="D415" t="str">
            <v>ACT</v>
          </cell>
          <cell r="E415">
            <v>36059</v>
          </cell>
          <cell r="F415">
            <v>33316.879999999997</v>
          </cell>
          <cell r="G415">
            <v>180</v>
          </cell>
          <cell r="H415">
            <v>8.7400000000000005E-2</v>
          </cell>
        </row>
        <row r="416">
          <cell r="A416" t="str">
            <v>AL/FL/TX Metro - J.Barri</v>
          </cell>
          <cell r="B416" t="str">
            <v>G. Texas Equity Loan</v>
          </cell>
          <cell r="C416">
            <v>61267948</v>
          </cell>
          <cell r="D416" t="str">
            <v>ACT</v>
          </cell>
          <cell r="E416">
            <v>36087</v>
          </cell>
          <cell r="F416">
            <v>33800</v>
          </cell>
          <cell r="G416">
            <v>180</v>
          </cell>
          <cell r="H416">
            <v>7.9899999999999999E-2</v>
          </cell>
        </row>
        <row r="417">
          <cell r="A417" t="str">
            <v>AL/FL/TX Metro - J.Barri</v>
          </cell>
          <cell r="B417" t="str">
            <v>G. Texas Equity Loan</v>
          </cell>
          <cell r="C417">
            <v>61290362</v>
          </cell>
          <cell r="D417" t="str">
            <v>NEW</v>
          </cell>
          <cell r="E417">
            <v>36062</v>
          </cell>
          <cell r="F417">
            <v>34750</v>
          </cell>
          <cell r="G417">
            <v>180</v>
          </cell>
          <cell r="H417">
            <v>8.9899999999999994E-2</v>
          </cell>
        </row>
        <row r="418">
          <cell r="A418" t="str">
            <v>AL/FL/TX Metro - J.Barri</v>
          </cell>
          <cell r="B418" t="str">
            <v>G. Texas Equity Loan</v>
          </cell>
          <cell r="C418">
            <v>61265767</v>
          </cell>
          <cell r="D418" t="str">
            <v>ACT</v>
          </cell>
          <cell r="E418">
            <v>36062</v>
          </cell>
          <cell r="F418">
            <v>35000</v>
          </cell>
          <cell r="G418">
            <v>180</v>
          </cell>
          <cell r="H418">
            <v>9.2399999999999996E-2</v>
          </cell>
        </row>
        <row r="419">
          <cell r="A419" t="str">
            <v>AL/FL/TX Metro - J.Barri</v>
          </cell>
          <cell r="B419" t="str">
            <v>G. Texas Equity Loan</v>
          </cell>
          <cell r="C419">
            <v>61266461</v>
          </cell>
          <cell r="D419" t="str">
            <v>ACT</v>
          </cell>
          <cell r="E419">
            <v>36052</v>
          </cell>
          <cell r="F419">
            <v>35000</v>
          </cell>
          <cell r="G419">
            <v>180</v>
          </cell>
          <cell r="H419">
            <v>8.9899999999999994E-2</v>
          </cell>
        </row>
        <row r="420">
          <cell r="A420" t="str">
            <v>AL/FL/TX Metro - J.Barri</v>
          </cell>
          <cell r="B420" t="str">
            <v>G. Texas Equity Loan</v>
          </cell>
          <cell r="C420">
            <v>61266070</v>
          </cell>
          <cell r="D420" t="str">
            <v>ACT</v>
          </cell>
          <cell r="E420">
            <v>36077</v>
          </cell>
          <cell r="F420">
            <v>35000</v>
          </cell>
          <cell r="G420">
            <v>120</v>
          </cell>
          <cell r="H420">
            <v>8.9899999999999994E-2</v>
          </cell>
        </row>
        <row r="421">
          <cell r="A421" t="str">
            <v>AL/FL/TX Metro - J.Barri</v>
          </cell>
          <cell r="B421" t="str">
            <v>G. Texas Equity Loan</v>
          </cell>
          <cell r="C421">
            <v>61264663</v>
          </cell>
          <cell r="D421" t="str">
            <v>ACT</v>
          </cell>
          <cell r="E421">
            <v>36070</v>
          </cell>
          <cell r="F421">
            <v>35000</v>
          </cell>
          <cell r="G421">
            <v>120</v>
          </cell>
          <cell r="H421">
            <v>8.7400000000000005E-2</v>
          </cell>
        </row>
        <row r="422">
          <cell r="A422" t="str">
            <v>AL/FL/TX Metro - J.Barri</v>
          </cell>
          <cell r="B422" t="str">
            <v>G. Texas Equity Loan</v>
          </cell>
          <cell r="C422">
            <v>61260501</v>
          </cell>
          <cell r="D422" t="str">
            <v>ACT</v>
          </cell>
          <cell r="E422">
            <v>36056</v>
          </cell>
          <cell r="F422">
            <v>35000</v>
          </cell>
          <cell r="G422">
            <v>60</v>
          </cell>
          <cell r="H422">
            <v>8.7400000000000005E-2</v>
          </cell>
        </row>
        <row r="423">
          <cell r="A423" t="str">
            <v>AL/FL/TX Metro - J.Barri</v>
          </cell>
          <cell r="B423" t="str">
            <v>G. Texas Equity Loan</v>
          </cell>
          <cell r="C423">
            <v>61269576</v>
          </cell>
          <cell r="D423" t="str">
            <v>NEW</v>
          </cell>
          <cell r="E423">
            <v>36092</v>
          </cell>
          <cell r="F423">
            <v>35000</v>
          </cell>
          <cell r="G423">
            <v>181</v>
          </cell>
          <cell r="H423">
            <v>8.7400000000000005E-2</v>
          </cell>
        </row>
        <row r="424">
          <cell r="A424" t="str">
            <v>AL/FL/TX Metro - J.Barri</v>
          </cell>
          <cell r="B424" t="str">
            <v>G. Texas Equity Loan</v>
          </cell>
          <cell r="C424">
            <v>61266623</v>
          </cell>
          <cell r="D424" t="str">
            <v>ACT</v>
          </cell>
          <cell r="E424">
            <v>36046</v>
          </cell>
          <cell r="F424">
            <v>35000</v>
          </cell>
          <cell r="G424">
            <v>180</v>
          </cell>
          <cell r="H424">
            <v>8.4900000000000003E-2</v>
          </cell>
        </row>
        <row r="425">
          <cell r="A425" t="str">
            <v>AL/FL/TX Metro - J.Barri</v>
          </cell>
          <cell r="B425" t="str">
            <v>G. Texas Equity Loan</v>
          </cell>
          <cell r="C425">
            <v>61258442</v>
          </cell>
          <cell r="D425" t="str">
            <v>ACT</v>
          </cell>
          <cell r="E425">
            <v>36048</v>
          </cell>
          <cell r="F425">
            <v>35000</v>
          </cell>
          <cell r="G425">
            <v>181</v>
          </cell>
          <cell r="H425">
            <v>7.9899999999999999E-2</v>
          </cell>
        </row>
        <row r="426">
          <cell r="A426" t="str">
            <v>AL/FL/TX Metro - J.Barri</v>
          </cell>
          <cell r="B426" t="str">
            <v>G. Texas Equity Loan</v>
          </cell>
          <cell r="C426">
            <v>61311726</v>
          </cell>
          <cell r="D426" t="str">
            <v>NEW</v>
          </cell>
          <cell r="E426">
            <v>36091</v>
          </cell>
          <cell r="F426">
            <v>35000</v>
          </cell>
          <cell r="G426">
            <v>72</v>
          </cell>
          <cell r="H426">
            <v>7.9899999999999999E-2</v>
          </cell>
        </row>
        <row r="427">
          <cell r="A427" t="str">
            <v>AL/FL/TX Metro - J.Barri</v>
          </cell>
          <cell r="B427" t="str">
            <v>G. Texas Equity Loan</v>
          </cell>
          <cell r="C427">
            <v>61311238</v>
          </cell>
          <cell r="D427" t="str">
            <v>NEW</v>
          </cell>
          <cell r="E427">
            <v>36096</v>
          </cell>
          <cell r="F427">
            <v>35000</v>
          </cell>
          <cell r="G427">
            <v>120</v>
          </cell>
          <cell r="H427">
            <v>7.7399999999999997E-2</v>
          </cell>
        </row>
        <row r="428">
          <cell r="A428" t="str">
            <v>AL/FL/TX Metro - J.Barri</v>
          </cell>
          <cell r="B428" t="str">
            <v>G. Texas Equity Loan</v>
          </cell>
          <cell r="C428">
            <v>61267743</v>
          </cell>
          <cell r="D428" t="str">
            <v>ACT</v>
          </cell>
          <cell r="E428">
            <v>36078</v>
          </cell>
          <cell r="F428">
            <v>35000</v>
          </cell>
          <cell r="G428">
            <v>120</v>
          </cell>
          <cell r="H428">
            <v>7.7399999999999997E-2</v>
          </cell>
        </row>
        <row r="429">
          <cell r="A429" t="str">
            <v>AL/FL/TX Metro - J.Barri</v>
          </cell>
          <cell r="B429" t="str">
            <v>G. Texas Equity Loan</v>
          </cell>
          <cell r="C429">
            <v>61258949</v>
          </cell>
          <cell r="D429" t="str">
            <v>ACT</v>
          </cell>
          <cell r="E429">
            <v>36049</v>
          </cell>
          <cell r="F429">
            <v>35250</v>
          </cell>
          <cell r="G429">
            <v>180</v>
          </cell>
          <cell r="H429">
            <v>7.4899999999999994E-2</v>
          </cell>
        </row>
        <row r="430">
          <cell r="A430" t="str">
            <v>AL/FL/TX Metro - J.Barri</v>
          </cell>
          <cell r="B430" t="str">
            <v>G. Texas Equity Loan</v>
          </cell>
          <cell r="C430">
            <v>61311203</v>
          </cell>
          <cell r="D430" t="str">
            <v>NEW</v>
          </cell>
          <cell r="E430">
            <v>36094</v>
          </cell>
          <cell r="F430">
            <v>35680</v>
          </cell>
          <cell r="G430">
            <v>181</v>
          </cell>
          <cell r="H430">
            <v>7.7399999999999997E-2</v>
          </cell>
        </row>
        <row r="431">
          <cell r="A431" t="str">
            <v>AL/FL/TX Metro - J.Barri</v>
          </cell>
          <cell r="B431" t="str">
            <v>G. Texas Equity Loan</v>
          </cell>
          <cell r="C431">
            <v>61268006</v>
          </cell>
          <cell r="D431" t="str">
            <v>ACT</v>
          </cell>
          <cell r="E431">
            <v>36073</v>
          </cell>
          <cell r="F431">
            <v>35775</v>
          </cell>
          <cell r="G431">
            <v>96</v>
          </cell>
          <cell r="H431">
            <v>8.7400000000000005E-2</v>
          </cell>
        </row>
        <row r="432">
          <cell r="A432" t="str">
            <v>AL/FL/TX Metro - J.Barri</v>
          </cell>
          <cell r="B432" t="str">
            <v>G. Texas Equity Loan</v>
          </cell>
          <cell r="C432">
            <v>61269649</v>
          </cell>
          <cell r="D432" t="str">
            <v>ACT</v>
          </cell>
          <cell r="E432">
            <v>36089</v>
          </cell>
          <cell r="F432">
            <v>36500</v>
          </cell>
          <cell r="G432">
            <v>180</v>
          </cell>
          <cell r="H432">
            <v>7.4999999999999997E-2</v>
          </cell>
        </row>
        <row r="433">
          <cell r="A433" t="str">
            <v>AL/FL/TX Metro - J.Barri</v>
          </cell>
          <cell r="B433" t="str">
            <v>G. Texas Equity Loan</v>
          </cell>
          <cell r="C433">
            <v>61257624</v>
          </cell>
          <cell r="D433" t="str">
            <v>ACT</v>
          </cell>
          <cell r="E433">
            <v>36040</v>
          </cell>
          <cell r="F433">
            <v>38000</v>
          </cell>
          <cell r="G433">
            <v>120</v>
          </cell>
          <cell r="H433">
            <v>8.7400000000000005E-2</v>
          </cell>
        </row>
        <row r="434">
          <cell r="A434" t="str">
            <v>AL/FL/TX Metro - J.Barri</v>
          </cell>
          <cell r="B434" t="str">
            <v>G. Texas Equity Loan</v>
          </cell>
          <cell r="C434">
            <v>61258159</v>
          </cell>
          <cell r="D434" t="str">
            <v>ACT</v>
          </cell>
          <cell r="E434">
            <v>36041</v>
          </cell>
          <cell r="F434">
            <v>38000</v>
          </cell>
          <cell r="G434">
            <v>180</v>
          </cell>
          <cell r="H434">
            <v>7.7399999999999997E-2</v>
          </cell>
        </row>
        <row r="435">
          <cell r="A435" t="str">
            <v>AL/FL/TX Metro - J.Barri</v>
          </cell>
          <cell r="B435" t="str">
            <v>G. Texas Equity Loan</v>
          </cell>
          <cell r="C435">
            <v>61289690</v>
          </cell>
          <cell r="D435" t="str">
            <v>NEW</v>
          </cell>
          <cell r="E435">
            <v>36110</v>
          </cell>
          <cell r="F435">
            <v>38000</v>
          </cell>
          <cell r="G435">
            <v>180</v>
          </cell>
          <cell r="H435">
            <v>7.7399999999999997E-2</v>
          </cell>
        </row>
        <row r="436">
          <cell r="A436" t="str">
            <v>AL/FL/TX Metro - J.Barri</v>
          </cell>
          <cell r="B436" t="str">
            <v>G. Texas Equity Loan</v>
          </cell>
          <cell r="C436">
            <v>61260285</v>
          </cell>
          <cell r="D436" t="str">
            <v>ACT</v>
          </cell>
          <cell r="E436">
            <v>36048</v>
          </cell>
          <cell r="F436">
            <v>38500</v>
          </cell>
          <cell r="G436">
            <v>180</v>
          </cell>
          <cell r="H436">
            <v>8.9899999999999994E-2</v>
          </cell>
        </row>
        <row r="437">
          <cell r="A437" t="str">
            <v>AL/FL/TX Metro - J.Barri</v>
          </cell>
          <cell r="B437" t="str">
            <v>G. Texas Equity Loan</v>
          </cell>
          <cell r="C437">
            <v>61257985</v>
          </cell>
          <cell r="D437" t="str">
            <v>ACT</v>
          </cell>
          <cell r="E437">
            <v>36053</v>
          </cell>
          <cell r="F437">
            <v>38520</v>
          </cell>
          <cell r="G437">
            <v>120</v>
          </cell>
          <cell r="H437">
            <v>8.7400000000000005E-2</v>
          </cell>
        </row>
        <row r="438">
          <cell r="A438" t="str">
            <v>AL/FL/TX Metro - J.Barri</v>
          </cell>
          <cell r="B438" t="str">
            <v>G. Texas Equity Loan</v>
          </cell>
          <cell r="C438">
            <v>61266909</v>
          </cell>
          <cell r="D438" t="str">
            <v>ACT</v>
          </cell>
          <cell r="E438">
            <v>36061</v>
          </cell>
          <cell r="F438">
            <v>38605.83</v>
          </cell>
          <cell r="G438">
            <v>180</v>
          </cell>
          <cell r="H438">
            <v>8.9899999999999994E-2</v>
          </cell>
        </row>
        <row r="439">
          <cell r="A439" t="str">
            <v>AL/FL/TX Metro - J.Barri</v>
          </cell>
          <cell r="B439" t="str">
            <v>G. Texas Equity Loan</v>
          </cell>
          <cell r="C439">
            <v>61259562</v>
          </cell>
          <cell r="D439" t="str">
            <v>ACT</v>
          </cell>
          <cell r="E439">
            <v>36046</v>
          </cell>
          <cell r="F439">
            <v>40000</v>
          </cell>
          <cell r="G439">
            <v>120</v>
          </cell>
          <cell r="H439">
            <v>8.9899999999999994E-2</v>
          </cell>
        </row>
        <row r="440">
          <cell r="A440" t="str">
            <v>Austin Community  - L.Leatherwood</v>
          </cell>
          <cell r="B440" t="str">
            <v>G. Texas Equity Loan</v>
          </cell>
          <cell r="C440">
            <v>50097528</v>
          </cell>
          <cell r="D440" t="str">
            <v>ACT</v>
          </cell>
          <cell r="E440">
            <v>36070</v>
          </cell>
          <cell r="F440">
            <v>40000</v>
          </cell>
          <cell r="G440">
            <v>2</v>
          </cell>
          <cell r="H440">
            <v>8.7499999999999994E-2</v>
          </cell>
        </row>
        <row r="441">
          <cell r="A441" t="str">
            <v>AL/FL/TX Metro - J.Barri</v>
          </cell>
          <cell r="B441" t="str">
            <v>G. Texas Equity Loan</v>
          </cell>
          <cell r="C441">
            <v>61266682</v>
          </cell>
          <cell r="D441" t="str">
            <v>ACT</v>
          </cell>
          <cell r="E441">
            <v>36061</v>
          </cell>
          <cell r="F441">
            <v>40000</v>
          </cell>
          <cell r="G441">
            <v>180</v>
          </cell>
          <cell r="H441">
            <v>7.9899999999999999E-2</v>
          </cell>
        </row>
        <row r="442">
          <cell r="A442" t="str">
            <v>AL/FL/TX Metro - J.Barri</v>
          </cell>
          <cell r="B442" t="str">
            <v>G. Texas Equity Loan</v>
          </cell>
          <cell r="C442">
            <v>61265902</v>
          </cell>
          <cell r="D442" t="str">
            <v>ACT</v>
          </cell>
          <cell r="E442">
            <v>36080</v>
          </cell>
          <cell r="F442">
            <v>40000</v>
          </cell>
          <cell r="G442">
            <v>180</v>
          </cell>
          <cell r="H442">
            <v>7.9899999999999999E-2</v>
          </cell>
        </row>
        <row r="443">
          <cell r="A443" t="str">
            <v>AL/FL/TX Metro - J.Barri</v>
          </cell>
          <cell r="B443" t="str">
            <v>G. Texas Equity Loan</v>
          </cell>
          <cell r="C443">
            <v>61259090</v>
          </cell>
          <cell r="D443" t="str">
            <v>ACT</v>
          </cell>
          <cell r="E443">
            <v>36041</v>
          </cell>
          <cell r="F443">
            <v>40000</v>
          </cell>
          <cell r="G443">
            <v>72</v>
          </cell>
          <cell r="H443">
            <v>7.9899999999999999E-2</v>
          </cell>
        </row>
        <row r="444">
          <cell r="A444" t="str">
            <v>AL/FL/TX Metro - J.Barri</v>
          </cell>
          <cell r="B444" t="str">
            <v>G. Texas Equity Loan</v>
          </cell>
          <cell r="C444">
            <v>61267182</v>
          </cell>
          <cell r="D444" t="str">
            <v>ACT</v>
          </cell>
          <cell r="E444">
            <v>36054</v>
          </cell>
          <cell r="F444">
            <v>40000</v>
          </cell>
          <cell r="G444">
            <v>180</v>
          </cell>
          <cell r="H444">
            <v>7.9899999999999999E-2</v>
          </cell>
        </row>
        <row r="445">
          <cell r="A445" t="str">
            <v>Austin Community  - L.Leatherwood</v>
          </cell>
          <cell r="B445" t="str">
            <v>G. Texas Equity Loan</v>
          </cell>
          <cell r="C445">
            <v>61258264</v>
          </cell>
          <cell r="D445" t="str">
            <v>ACT</v>
          </cell>
          <cell r="E445">
            <v>36042</v>
          </cell>
          <cell r="F445">
            <v>40000</v>
          </cell>
          <cell r="G445">
            <v>180</v>
          </cell>
          <cell r="H445">
            <v>7.9899999999999999E-2</v>
          </cell>
        </row>
        <row r="446">
          <cell r="A446" t="str">
            <v>Austin Community  - L.Leatherwood</v>
          </cell>
          <cell r="B446" t="str">
            <v>G. Texas Equity Loan</v>
          </cell>
          <cell r="C446">
            <v>61259163</v>
          </cell>
          <cell r="D446" t="str">
            <v>ACT</v>
          </cell>
          <cell r="E446">
            <v>36043</v>
          </cell>
          <cell r="F446">
            <v>40000</v>
          </cell>
          <cell r="G446">
            <v>180</v>
          </cell>
          <cell r="H446">
            <v>7.9899999999999999E-2</v>
          </cell>
        </row>
        <row r="447">
          <cell r="A447" t="str">
            <v>Austin Community  - L.Leatherwood</v>
          </cell>
          <cell r="B447" t="str">
            <v>G. Texas Equity Loan</v>
          </cell>
          <cell r="C447">
            <v>61266798</v>
          </cell>
          <cell r="D447" t="str">
            <v>ACT</v>
          </cell>
          <cell r="E447">
            <v>36054</v>
          </cell>
          <cell r="F447">
            <v>40000</v>
          </cell>
          <cell r="G447">
            <v>180</v>
          </cell>
          <cell r="H447">
            <v>7.9899999999999999E-2</v>
          </cell>
        </row>
        <row r="448">
          <cell r="A448" t="str">
            <v>AL/FL/TX Metro - J.Barri</v>
          </cell>
          <cell r="B448" t="str">
            <v>G. Texas Equity Loan</v>
          </cell>
          <cell r="C448">
            <v>61269398</v>
          </cell>
          <cell r="D448" t="str">
            <v>NEW</v>
          </cell>
          <cell r="E448">
            <v>36076</v>
          </cell>
          <cell r="F448">
            <v>40000</v>
          </cell>
          <cell r="G448">
            <v>121</v>
          </cell>
          <cell r="H448">
            <v>7.7899999999999997E-2</v>
          </cell>
        </row>
        <row r="449">
          <cell r="A449" t="str">
            <v>AL/FL/TX Metro - J.Barri</v>
          </cell>
          <cell r="B449" t="str">
            <v>G. Texas Equity Loan</v>
          </cell>
          <cell r="C449">
            <v>61260331</v>
          </cell>
          <cell r="D449" t="str">
            <v>ACT</v>
          </cell>
          <cell r="E449">
            <v>36057</v>
          </cell>
          <cell r="F449">
            <v>40000</v>
          </cell>
          <cell r="G449">
            <v>180</v>
          </cell>
          <cell r="H449">
            <v>7.7399999999999997E-2</v>
          </cell>
        </row>
        <row r="450">
          <cell r="A450" t="str">
            <v>AL/FL/TX Metro - J.Barri</v>
          </cell>
          <cell r="B450" t="str">
            <v>G. Texas Equity Loan</v>
          </cell>
          <cell r="C450">
            <v>61264639</v>
          </cell>
          <cell r="D450" t="str">
            <v>ACT</v>
          </cell>
          <cell r="E450">
            <v>36074</v>
          </cell>
          <cell r="F450">
            <v>40000</v>
          </cell>
          <cell r="G450">
            <v>180</v>
          </cell>
          <cell r="H450">
            <v>7.7399999999999997E-2</v>
          </cell>
        </row>
        <row r="451">
          <cell r="A451" t="str">
            <v>AL/FL/TX Metro - J.Barri</v>
          </cell>
          <cell r="B451" t="str">
            <v>G. Texas Equity Loan</v>
          </cell>
          <cell r="C451">
            <v>61266739</v>
          </cell>
          <cell r="D451" t="str">
            <v>ACT</v>
          </cell>
          <cell r="E451">
            <v>36060</v>
          </cell>
          <cell r="F451">
            <v>40000</v>
          </cell>
          <cell r="G451">
            <v>180</v>
          </cell>
          <cell r="H451">
            <v>7.7399999999999997E-2</v>
          </cell>
        </row>
        <row r="452">
          <cell r="A452" t="str">
            <v>AL/FL/TX Metro - J.Barri</v>
          </cell>
          <cell r="B452" t="str">
            <v>G. Texas Equity Loan</v>
          </cell>
          <cell r="C452">
            <v>61266186</v>
          </cell>
          <cell r="D452" t="str">
            <v>ACT</v>
          </cell>
          <cell r="E452">
            <v>36082</v>
          </cell>
          <cell r="F452">
            <v>40000</v>
          </cell>
          <cell r="G452">
            <v>181</v>
          </cell>
          <cell r="H452">
            <v>7.7399999999999997E-2</v>
          </cell>
        </row>
        <row r="453">
          <cell r="A453" t="str">
            <v>AL/FL/TX Metro - J.Barri</v>
          </cell>
          <cell r="B453" t="str">
            <v>G. Texas Equity Loan</v>
          </cell>
          <cell r="C453">
            <v>61266011</v>
          </cell>
          <cell r="D453" t="str">
            <v>ACT</v>
          </cell>
          <cell r="E453">
            <v>36077</v>
          </cell>
          <cell r="F453">
            <v>40000</v>
          </cell>
          <cell r="G453">
            <v>180</v>
          </cell>
          <cell r="H453">
            <v>7.7399999999999997E-2</v>
          </cell>
        </row>
        <row r="454">
          <cell r="A454" t="str">
            <v>AL/FL/TX Metro - J.Barri</v>
          </cell>
          <cell r="B454" t="str">
            <v>G. Texas Equity Loan</v>
          </cell>
          <cell r="C454">
            <v>61203508</v>
          </cell>
          <cell r="D454" t="str">
            <v>ACT</v>
          </cell>
          <cell r="E454">
            <v>36039</v>
          </cell>
          <cell r="F454">
            <v>40000</v>
          </cell>
          <cell r="G454">
            <v>180</v>
          </cell>
          <cell r="H454">
            <v>7.7399999999999997E-2</v>
          </cell>
        </row>
        <row r="455">
          <cell r="A455" t="str">
            <v>AL/FL/TX Metro - J.Barri</v>
          </cell>
          <cell r="B455" t="str">
            <v>G. Texas Equity Loan</v>
          </cell>
          <cell r="C455">
            <v>61258558</v>
          </cell>
          <cell r="D455" t="str">
            <v>ACT</v>
          </cell>
          <cell r="E455">
            <v>36039</v>
          </cell>
          <cell r="F455">
            <v>40000</v>
          </cell>
          <cell r="G455">
            <v>180</v>
          </cell>
          <cell r="H455">
            <v>7.7399999999999997E-2</v>
          </cell>
        </row>
        <row r="456">
          <cell r="A456" t="str">
            <v>AL/FL/TX Metro - J.Barri</v>
          </cell>
          <cell r="B456" t="str">
            <v>G. Texas Equity Loan</v>
          </cell>
          <cell r="C456">
            <v>61259228</v>
          </cell>
          <cell r="D456" t="str">
            <v>ACT</v>
          </cell>
          <cell r="E456">
            <v>36052</v>
          </cell>
          <cell r="F456">
            <v>40000</v>
          </cell>
          <cell r="G456">
            <v>180</v>
          </cell>
          <cell r="H456">
            <v>7.7399999999999997E-2</v>
          </cell>
        </row>
        <row r="457">
          <cell r="A457" t="str">
            <v>AL/FL/TX Metro - J.Barri</v>
          </cell>
          <cell r="B457" t="str">
            <v>G. Texas Equity Loan</v>
          </cell>
          <cell r="C457">
            <v>61258833</v>
          </cell>
          <cell r="D457" t="str">
            <v>ACT</v>
          </cell>
          <cell r="E457">
            <v>36053</v>
          </cell>
          <cell r="F457">
            <v>40000</v>
          </cell>
          <cell r="G457">
            <v>180</v>
          </cell>
          <cell r="H457">
            <v>7.7399999999999997E-2</v>
          </cell>
        </row>
        <row r="458">
          <cell r="A458" t="str">
            <v>AL/FL/TX Metro - J.Barri</v>
          </cell>
          <cell r="B458" t="str">
            <v>G. Texas Equity Loan</v>
          </cell>
          <cell r="C458">
            <v>61259031</v>
          </cell>
          <cell r="D458" t="str">
            <v>ACT</v>
          </cell>
          <cell r="E458">
            <v>36042</v>
          </cell>
          <cell r="F458">
            <v>40000</v>
          </cell>
          <cell r="G458">
            <v>180</v>
          </cell>
          <cell r="H458">
            <v>7.7399999999999997E-2</v>
          </cell>
        </row>
        <row r="459">
          <cell r="A459" t="str">
            <v>AL/FL/TX Metro - J.Barri</v>
          </cell>
          <cell r="B459" t="str">
            <v>G. Texas Equity Loan</v>
          </cell>
          <cell r="C459">
            <v>61307273</v>
          </cell>
          <cell r="D459" t="str">
            <v>NEW</v>
          </cell>
          <cell r="E459">
            <v>36112</v>
          </cell>
          <cell r="F459">
            <v>40000</v>
          </cell>
          <cell r="G459">
            <v>120</v>
          </cell>
          <cell r="H459">
            <v>7.7399999999999997E-2</v>
          </cell>
        </row>
        <row r="460">
          <cell r="A460" t="str">
            <v>AL/FL/TX Metro - J.Barri</v>
          </cell>
          <cell r="B460" t="str">
            <v>G. Texas Equity Loan</v>
          </cell>
          <cell r="C460">
            <v>61306846</v>
          </cell>
          <cell r="D460" t="str">
            <v>NEW</v>
          </cell>
          <cell r="E460">
            <v>36111</v>
          </cell>
          <cell r="F460">
            <v>40000</v>
          </cell>
          <cell r="G460">
            <v>180</v>
          </cell>
          <cell r="H460">
            <v>7.7399999999999997E-2</v>
          </cell>
        </row>
        <row r="461">
          <cell r="A461" t="str">
            <v>AL/FL/TX Metro - J.Barri</v>
          </cell>
          <cell r="B461" t="str">
            <v>G. Texas Equity Loan</v>
          </cell>
          <cell r="C461">
            <v>61311319</v>
          </cell>
          <cell r="D461" t="str">
            <v>NEW</v>
          </cell>
          <cell r="E461">
            <v>36098</v>
          </cell>
          <cell r="F461">
            <v>40000</v>
          </cell>
          <cell r="G461">
            <v>120</v>
          </cell>
          <cell r="H461">
            <v>7.7399999999999997E-2</v>
          </cell>
        </row>
        <row r="462">
          <cell r="A462" t="str">
            <v>AL/FL/TX Metro - J.Barri</v>
          </cell>
          <cell r="B462" t="str">
            <v>G. Texas Equity Loan</v>
          </cell>
          <cell r="C462">
            <v>61311289</v>
          </cell>
          <cell r="D462" t="str">
            <v>NEW</v>
          </cell>
          <cell r="E462">
            <v>36089</v>
          </cell>
          <cell r="F462">
            <v>40000</v>
          </cell>
          <cell r="G462">
            <v>84</v>
          </cell>
          <cell r="H462">
            <v>7.7399999999999997E-2</v>
          </cell>
        </row>
        <row r="463">
          <cell r="A463" t="str">
            <v>AL/FL/TX Metro - J.Barri</v>
          </cell>
          <cell r="B463" t="str">
            <v>G. Texas Equity Loan</v>
          </cell>
          <cell r="C463">
            <v>61267131</v>
          </cell>
          <cell r="D463" t="str">
            <v>ACT</v>
          </cell>
          <cell r="E463">
            <v>36074</v>
          </cell>
          <cell r="F463">
            <v>40000</v>
          </cell>
          <cell r="G463">
            <v>180</v>
          </cell>
          <cell r="H463">
            <v>7.7399999999999997E-2</v>
          </cell>
        </row>
        <row r="464">
          <cell r="A464" t="str">
            <v>Austin Community  - L.Leatherwood</v>
          </cell>
          <cell r="B464" t="str">
            <v>G. Texas Equity Loan</v>
          </cell>
          <cell r="C464">
            <v>61258094</v>
          </cell>
          <cell r="D464" t="str">
            <v>ACT</v>
          </cell>
          <cell r="E464">
            <v>36042</v>
          </cell>
          <cell r="F464">
            <v>40000</v>
          </cell>
          <cell r="G464">
            <v>84</v>
          </cell>
          <cell r="H464">
            <v>7.7399999999999997E-2</v>
          </cell>
        </row>
        <row r="465">
          <cell r="A465" t="str">
            <v>Austin Community  - L.Leatherwood</v>
          </cell>
          <cell r="B465" t="str">
            <v>G. Texas Equity Loan</v>
          </cell>
          <cell r="C465">
            <v>61258310</v>
          </cell>
          <cell r="D465" t="str">
            <v>ACT</v>
          </cell>
          <cell r="E465">
            <v>36042</v>
          </cell>
          <cell r="F465">
            <v>40000</v>
          </cell>
          <cell r="G465">
            <v>181</v>
          </cell>
          <cell r="H465">
            <v>7.7399999999999997E-2</v>
          </cell>
        </row>
        <row r="466">
          <cell r="A466" t="str">
            <v>Texas Community  - A.Burnett</v>
          </cell>
          <cell r="B466" t="str">
            <v>G. Texas Equity Loan</v>
          </cell>
          <cell r="C466">
            <v>61267867</v>
          </cell>
          <cell r="D466" t="str">
            <v>ACT</v>
          </cell>
          <cell r="E466">
            <v>36084</v>
          </cell>
          <cell r="F466">
            <v>40000</v>
          </cell>
          <cell r="G466">
            <v>84</v>
          </cell>
          <cell r="H466">
            <v>7.7399999999999997E-2</v>
          </cell>
        </row>
        <row r="467">
          <cell r="A467" t="str">
            <v>Texas Community  - A.Burnett</v>
          </cell>
          <cell r="B467" t="str">
            <v>G. Texas Equity Loan</v>
          </cell>
          <cell r="C467">
            <v>61268529</v>
          </cell>
          <cell r="D467" t="str">
            <v>ACT</v>
          </cell>
          <cell r="E467">
            <v>36080</v>
          </cell>
          <cell r="F467">
            <v>40000</v>
          </cell>
          <cell r="G467">
            <v>180</v>
          </cell>
          <cell r="H467">
            <v>7.7399999999999997E-2</v>
          </cell>
        </row>
        <row r="468">
          <cell r="A468" t="str">
            <v>AL/FL/TX Metro - J.Barri</v>
          </cell>
          <cell r="B468" t="str">
            <v>G. Texas Equity Loan</v>
          </cell>
          <cell r="C468">
            <v>61307222</v>
          </cell>
          <cell r="D468" t="str">
            <v>NEW</v>
          </cell>
          <cell r="E468">
            <v>36105</v>
          </cell>
          <cell r="F468">
            <v>40000</v>
          </cell>
          <cell r="G468">
            <v>180</v>
          </cell>
          <cell r="H468">
            <v>7.4899999999999994E-2</v>
          </cell>
        </row>
        <row r="469">
          <cell r="A469" t="str">
            <v>AL/FL/TX Metro - J.Barri</v>
          </cell>
          <cell r="B469" t="str">
            <v>G. Texas Equity Loan</v>
          </cell>
          <cell r="C469">
            <v>61290877</v>
          </cell>
          <cell r="D469" t="str">
            <v>NEW</v>
          </cell>
          <cell r="E469">
            <v>36105</v>
          </cell>
          <cell r="F469">
            <v>40000</v>
          </cell>
          <cell r="G469">
            <v>180</v>
          </cell>
          <cell r="H469">
            <v>7.4899999999999994E-2</v>
          </cell>
        </row>
        <row r="470">
          <cell r="A470" t="str">
            <v>AL/FL/TX Metro - J.Barri</v>
          </cell>
          <cell r="B470" t="str">
            <v>G. Texas Equity Loan</v>
          </cell>
          <cell r="C470">
            <v>61312005</v>
          </cell>
          <cell r="D470" t="str">
            <v>NEW</v>
          </cell>
          <cell r="E470">
            <v>36096</v>
          </cell>
          <cell r="F470">
            <v>40000</v>
          </cell>
          <cell r="G470">
            <v>60</v>
          </cell>
          <cell r="H470">
            <v>7.4899999999999994E-2</v>
          </cell>
        </row>
        <row r="471">
          <cell r="A471" t="str">
            <v>AL/FL/TX Metro - J.Barri</v>
          </cell>
          <cell r="B471" t="str">
            <v>G. Texas Equity Loan</v>
          </cell>
          <cell r="C471">
            <v>61310827</v>
          </cell>
          <cell r="D471" t="str">
            <v>NEW</v>
          </cell>
          <cell r="E471">
            <v>36098</v>
          </cell>
          <cell r="F471">
            <v>40000</v>
          </cell>
          <cell r="G471">
            <v>71</v>
          </cell>
          <cell r="H471">
            <v>7.4899999999999994E-2</v>
          </cell>
        </row>
        <row r="472">
          <cell r="A472" t="str">
            <v>AL/FL/TX Metro - J.Barri</v>
          </cell>
          <cell r="B472" t="str">
            <v>G. Texas Equity Loan</v>
          </cell>
          <cell r="C472">
            <v>61290524</v>
          </cell>
          <cell r="D472" t="str">
            <v>NEW</v>
          </cell>
          <cell r="E472">
            <v>36110</v>
          </cell>
          <cell r="F472">
            <v>40000</v>
          </cell>
          <cell r="G472">
            <v>120</v>
          </cell>
          <cell r="H472">
            <v>7.4899999999999994E-2</v>
          </cell>
        </row>
        <row r="473">
          <cell r="A473" t="str">
            <v>Texas Community  - A.Burnett</v>
          </cell>
          <cell r="B473" t="str">
            <v>G. Texas Equity Loan</v>
          </cell>
          <cell r="C473">
            <v>61307079</v>
          </cell>
          <cell r="D473" t="str">
            <v>NEW</v>
          </cell>
          <cell r="E473">
            <v>36112</v>
          </cell>
          <cell r="F473">
            <v>40000</v>
          </cell>
          <cell r="G473">
            <v>180</v>
          </cell>
          <cell r="H473">
            <v>7.4899999999999994E-2</v>
          </cell>
        </row>
        <row r="474">
          <cell r="A474" t="str">
            <v>Texas Community  - A.Burnett</v>
          </cell>
          <cell r="B474" t="str">
            <v>G. Texas Equity Loan</v>
          </cell>
          <cell r="C474">
            <v>61290613</v>
          </cell>
          <cell r="D474" t="str">
            <v>NEW</v>
          </cell>
          <cell r="E474">
            <v>36109</v>
          </cell>
          <cell r="F474">
            <v>40000</v>
          </cell>
          <cell r="G474">
            <v>180</v>
          </cell>
          <cell r="H474">
            <v>7.4899999999999994E-2</v>
          </cell>
        </row>
        <row r="475">
          <cell r="A475" t="str">
            <v>Texas Community  - A.Burnett</v>
          </cell>
          <cell r="B475" t="str">
            <v>G. Texas Equity Loan</v>
          </cell>
          <cell r="C475">
            <v>61309896</v>
          </cell>
          <cell r="D475" t="str">
            <v>NEW</v>
          </cell>
          <cell r="E475">
            <v>36118</v>
          </cell>
          <cell r="F475">
            <v>40000</v>
          </cell>
          <cell r="G475">
            <v>120</v>
          </cell>
          <cell r="H475">
            <v>7.4899999999999994E-2</v>
          </cell>
        </row>
        <row r="476">
          <cell r="A476" t="str">
            <v>Austin Community  - L.Leatherwood</v>
          </cell>
          <cell r="B476" t="str">
            <v>G. Texas Equity Loan</v>
          </cell>
          <cell r="C476">
            <v>61259791</v>
          </cell>
          <cell r="D476" t="str">
            <v>ACT</v>
          </cell>
          <cell r="E476">
            <v>36054</v>
          </cell>
          <cell r="F476">
            <v>40850</v>
          </cell>
          <cell r="G476">
            <v>60</v>
          </cell>
          <cell r="H476">
            <v>8.5000000000000006E-2</v>
          </cell>
        </row>
        <row r="477">
          <cell r="A477" t="str">
            <v>AL/FL/TX Metro - J.Barri</v>
          </cell>
          <cell r="B477" t="str">
            <v>G. Texas Equity Loan</v>
          </cell>
          <cell r="C477">
            <v>61290168</v>
          </cell>
          <cell r="D477" t="str">
            <v>NEW</v>
          </cell>
          <cell r="E477">
            <v>36112</v>
          </cell>
          <cell r="F477">
            <v>41000</v>
          </cell>
          <cell r="G477">
            <v>180</v>
          </cell>
          <cell r="H477">
            <v>7.4899999999999994E-2</v>
          </cell>
        </row>
        <row r="478">
          <cell r="A478" t="str">
            <v>AL/FL/TX Metro - J.Barri</v>
          </cell>
          <cell r="B478" t="str">
            <v>G. Texas Equity Loan</v>
          </cell>
          <cell r="C478">
            <v>61268790</v>
          </cell>
          <cell r="D478" t="str">
            <v>NEW</v>
          </cell>
          <cell r="E478">
            <v>36081</v>
          </cell>
          <cell r="F478">
            <v>42000</v>
          </cell>
          <cell r="G478">
            <v>180</v>
          </cell>
          <cell r="H478">
            <v>7.7399999999999997E-2</v>
          </cell>
        </row>
        <row r="479">
          <cell r="A479" t="str">
            <v>Texas Community  - A.Burnett</v>
          </cell>
          <cell r="B479" t="str">
            <v>G. Texas Equity Loan</v>
          </cell>
          <cell r="C479">
            <v>61259341</v>
          </cell>
          <cell r="D479" t="str">
            <v>ACT</v>
          </cell>
          <cell r="E479">
            <v>36052</v>
          </cell>
          <cell r="F479">
            <v>42000</v>
          </cell>
          <cell r="G479">
            <v>180</v>
          </cell>
          <cell r="H479">
            <v>7.7399999999999997E-2</v>
          </cell>
        </row>
        <row r="480">
          <cell r="A480" t="str">
            <v>AL/FL/TX Metro - J.Barri</v>
          </cell>
          <cell r="B480" t="str">
            <v>G. Texas Equity Loan</v>
          </cell>
          <cell r="C480">
            <v>61290729</v>
          </cell>
          <cell r="D480" t="str">
            <v>NEW</v>
          </cell>
          <cell r="E480">
            <v>36095</v>
          </cell>
          <cell r="F480">
            <v>42250</v>
          </cell>
          <cell r="G480">
            <v>180</v>
          </cell>
          <cell r="H480">
            <v>7.7399999999999997E-2</v>
          </cell>
        </row>
        <row r="481">
          <cell r="A481" t="str">
            <v>AL/FL/TX Metro - J.Barri</v>
          </cell>
          <cell r="B481" t="str">
            <v>G. Texas Equity Loan</v>
          </cell>
          <cell r="C481">
            <v>61257721</v>
          </cell>
          <cell r="D481" t="str">
            <v>ACT</v>
          </cell>
          <cell r="E481">
            <v>36040</v>
          </cell>
          <cell r="F481">
            <v>42500</v>
          </cell>
          <cell r="G481">
            <v>72</v>
          </cell>
          <cell r="H481">
            <v>7.7499999999999999E-2</v>
          </cell>
        </row>
        <row r="482">
          <cell r="A482" t="str">
            <v>AL/FL/TX Metro - J.Barri</v>
          </cell>
          <cell r="B482" t="str">
            <v>G. Texas Equity Loan</v>
          </cell>
          <cell r="C482">
            <v>61257616</v>
          </cell>
          <cell r="D482" t="str">
            <v>ACT</v>
          </cell>
          <cell r="E482">
            <v>36040</v>
          </cell>
          <cell r="F482">
            <v>43900</v>
          </cell>
          <cell r="G482">
            <v>37</v>
          </cell>
          <cell r="H482">
            <v>7.9899999999999999E-2</v>
          </cell>
        </row>
        <row r="483">
          <cell r="A483" t="str">
            <v>AL/FL/TX Metro - J.Barri</v>
          </cell>
          <cell r="B483" t="str">
            <v>G. Texas Equity Loan</v>
          </cell>
          <cell r="C483">
            <v>61266399</v>
          </cell>
          <cell r="D483" t="str">
            <v>ACT</v>
          </cell>
          <cell r="E483">
            <v>36077</v>
          </cell>
          <cell r="F483">
            <v>44100</v>
          </cell>
          <cell r="G483">
            <v>180</v>
          </cell>
          <cell r="H483">
            <v>7.7399999999999997E-2</v>
          </cell>
        </row>
        <row r="484">
          <cell r="A484" t="str">
            <v>AL/FL/TX Metro - J.Barri</v>
          </cell>
          <cell r="B484" t="str">
            <v>G. Texas Equity Loan</v>
          </cell>
          <cell r="C484">
            <v>61267522</v>
          </cell>
          <cell r="D484" t="str">
            <v>ACT</v>
          </cell>
          <cell r="E484">
            <v>36077</v>
          </cell>
          <cell r="F484">
            <v>44900</v>
          </cell>
          <cell r="G484">
            <v>120</v>
          </cell>
          <cell r="H484">
            <v>7.9899999999999999E-2</v>
          </cell>
        </row>
        <row r="485">
          <cell r="A485" t="str">
            <v>Texas Community  - A.Burnett</v>
          </cell>
          <cell r="B485" t="str">
            <v>G. Texas Equity Loan</v>
          </cell>
          <cell r="C485">
            <v>61290591</v>
          </cell>
          <cell r="D485" t="str">
            <v>NEW</v>
          </cell>
          <cell r="E485">
            <v>36103</v>
          </cell>
          <cell r="F485">
            <v>45000</v>
          </cell>
          <cell r="G485">
            <v>180</v>
          </cell>
          <cell r="H485">
            <v>8.9399999999999993E-2</v>
          </cell>
        </row>
        <row r="486">
          <cell r="A486" t="str">
            <v>Austin Community  - L.Leatherwood</v>
          </cell>
          <cell r="B486" t="str">
            <v>G. Texas Equity Loan</v>
          </cell>
          <cell r="C486">
            <v>61259910</v>
          </cell>
          <cell r="D486" t="str">
            <v>ACT</v>
          </cell>
          <cell r="E486">
            <v>36040</v>
          </cell>
          <cell r="F486">
            <v>45000</v>
          </cell>
          <cell r="G486">
            <v>181</v>
          </cell>
          <cell r="H486">
            <v>8.2500000000000004E-2</v>
          </cell>
        </row>
        <row r="487">
          <cell r="A487" t="str">
            <v>Austin Community  - L.Leatherwood</v>
          </cell>
          <cell r="B487" t="str">
            <v>G. Texas Equity Loan</v>
          </cell>
          <cell r="C487">
            <v>61259066</v>
          </cell>
          <cell r="D487" t="str">
            <v>ACT</v>
          </cell>
          <cell r="E487">
            <v>36049</v>
          </cell>
          <cell r="F487">
            <v>45000</v>
          </cell>
          <cell r="G487">
            <v>181</v>
          </cell>
          <cell r="H487">
            <v>8.2500000000000004E-2</v>
          </cell>
        </row>
        <row r="488">
          <cell r="A488" t="str">
            <v>AL/FL/TX Metro - J.Barri</v>
          </cell>
          <cell r="B488" t="str">
            <v>G. Texas Equity Loan</v>
          </cell>
          <cell r="C488">
            <v>61257500</v>
          </cell>
          <cell r="D488" t="str">
            <v>ACT</v>
          </cell>
          <cell r="E488">
            <v>36042</v>
          </cell>
          <cell r="F488">
            <v>45000</v>
          </cell>
          <cell r="G488">
            <v>84</v>
          </cell>
          <cell r="H488">
            <v>7.7399999999999997E-2</v>
          </cell>
        </row>
        <row r="489">
          <cell r="A489" t="str">
            <v>AL/FL/TX Metro - J.Barri</v>
          </cell>
          <cell r="B489" t="str">
            <v>G. Texas Equity Loan</v>
          </cell>
          <cell r="C489">
            <v>61311149</v>
          </cell>
          <cell r="D489" t="str">
            <v>NEW</v>
          </cell>
          <cell r="E489">
            <v>36091</v>
          </cell>
          <cell r="F489">
            <v>45000</v>
          </cell>
          <cell r="G489">
            <v>121</v>
          </cell>
          <cell r="H489">
            <v>7.7399999999999997E-2</v>
          </cell>
        </row>
        <row r="490">
          <cell r="A490" t="str">
            <v>AL/FL/TX Metro - J.Barri</v>
          </cell>
          <cell r="B490" t="str">
            <v>G. Texas Equity Loan</v>
          </cell>
          <cell r="C490">
            <v>61269177</v>
          </cell>
          <cell r="D490" t="str">
            <v>NEW</v>
          </cell>
          <cell r="E490">
            <v>36091</v>
          </cell>
          <cell r="F490">
            <v>45000</v>
          </cell>
          <cell r="G490">
            <v>180</v>
          </cell>
          <cell r="H490">
            <v>7.7399999999999997E-2</v>
          </cell>
        </row>
        <row r="491">
          <cell r="A491" t="str">
            <v>AL/FL/TX Metro - J.Barri</v>
          </cell>
          <cell r="B491" t="str">
            <v>G. Texas Equity Loan</v>
          </cell>
          <cell r="C491">
            <v>61257446</v>
          </cell>
          <cell r="D491" t="str">
            <v>ACT</v>
          </cell>
          <cell r="E491">
            <v>36048</v>
          </cell>
          <cell r="F491">
            <v>46500</v>
          </cell>
          <cell r="G491">
            <v>180</v>
          </cell>
          <cell r="H491">
            <v>7.7399999999999997E-2</v>
          </cell>
        </row>
        <row r="492">
          <cell r="A492" t="str">
            <v>AL/FL/TX Metro - J.Barri</v>
          </cell>
          <cell r="B492" t="str">
            <v>G. Texas Equity Loan</v>
          </cell>
          <cell r="C492">
            <v>61267832</v>
          </cell>
          <cell r="D492" t="str">
            <v>ACT</v>
          </cell>
          <cell r="E492">
            <v>36087</v>
          </cell>
          <cell r="F492">
            <v>47000</v>
          </cell>
          <cell r="G492">
            <v>120</v>
          </cell>
          <cell r="H492">
            <v>7.7399999999999997E-2</v>
          </cell>
        </row>
        <row r="493">
          <cell r="A493" t="str">
            <v>Austin Community  - L.Leatherwood</v>
          </cell>
          <cell r="B493" t="str">
            <v>G. Texas Equity Loan</v>
          </cell>
          <cell r="C493">
            <v>61290311</v>
          </cell>
          <cell r="D493" t="str">
            <v>NEW</v>
          </cell>
          <cell r="E493">
            <v>36110</v>
          </cell>
          <cell r="F493">
            <v>47100</v>
          </cell>
          <cell r="G493">
            <v>180</v>
          </cell>
          <cell r="H493">
            <v>7.4899999999999994E-2</v>
          </cell>
        </row>
        <row r="494">
          <cell r="A494" t="str">
            <v>AL/FL/TX Metro - J.Barri</v>
          </cell>
          <cell r="B494" t="str">
            <v>G. Texas Equity Loan</v>
          </cell>
          <cell r="C494">
            <v>61264574</v>
          </cell>
          <cell r="D494" t="str">
            <v>ACT</v>
          </cell>
          <cell r="E494">
            <v>36067</v>
          </cell>
          <cell r="F494">
            <v>47200</v>
          </cell>
          <cell r="G494">
            <v>181</v>
          </cell>
          <cell r="H494">
            <v>7.7399999999999997E-2</v>
          </cell>
        </row>
        <row r="495">
          <cell r="A495" t="str">
            <v>Austin Community  - L.Leatherwood</v>
          </cell>
          <cell r="B495" t="str">
            <v>G. Texas Equity Loan</v>
          </cell>
          <cell r="C495">
            <v>61311858</v>
          </cell>
          <cell r="D495" t="str">
            <v>NEW</v>
          </cell>
          <cell r="E495">
            <v>36102</v>
          </cell>
          <cell r="F495">
            <v>48000</v>
          </cell>
          <cell r="G495">
            <v>180</v>
          </cell>
          <cell r="H495">
            <v>7.4899999999999994E-2</v>
          </cell>
        </row>
        <row r="496">
          <cell r="A496" t="str">
            <v>AL/FL/TX Metro - J.Barri</v>
          </cell>
          <cell r="B496" t="str">
            <v>G. Texas Equity Loan</v>
          </cell>
          <cell r="C496">
            <v>61266283</v>
          </cell>
          <cell r="D496" t="str">
            <v>ACT</v>
          </cell>
          <cell r="E496">
            <v>36077</v>
          </cell>
          <cell r="F496">
            <v>49450</v>
          </cell>
          <cell r="G496">
            <v>180</v>
          </cell>
          <cell r="H496">
            <v>8.2400000000000001E-2</v>
          </cell>
        </row>
        <row r="497">
          <cell r="A497" t="str">
            <v>Texas Community  - A.Burnett</v>
          </cell>
          <cell r="B497" t="str">
            <v>G. Texas Equity Loan</v>
          </cell>
          <cell r="C497">
            <v>61203559</v>
          </cell>
          <cell r="D497" t="str">
            <v>ACT</v>
          </cell>
          <cell r="E497">
            <v>36039</v>
          </cell>
          <cell r="F497">
            <v>49600</v>
          </cell>
          <cell r="G497">
            <v>180</v>
          </cell>
          <cell r="H497">
            <v>7.9899999999999999E-2</v>
          </cell>
        </row>
        <row r="498">
          <cell r="A498" t="str">
            <v>AL/FL/TX Metro - J.Barri</v>
          </cell>
          <cell r="B498" t="str">
            <v>G. Texas Equity Loan</v>
          </cell>
          <cell r="C498">
            <v>61310703</v>
          </cell>
          <cell r="D498" t="str">
            <v>NEW</v>
          </cell>
          <cell r="E498">
            <v>36095</v>
          </cell>
          <cell r="F498">
            <v>49800</v>
          </cell>
          <cell r="G498">
            <v>180</v>
          </cell>
          <cell r="H498">
            <v>7.7399999999999997E-2</v>
          </cell>
        </row>
        <row r="499">
          <cell r="A499" t="str">
            <v>AL/FL/TX Metro - J.Barri</v>
          </cell>
          <cell r="B499" t="str">
            <v>G. Texas Equity Loan</v>
          </cell>
          <cell r="C499">
            <v>61260005</v>
          </cell>
          <cell r="D499" t="str">
            <v>ACT</v>
          </cell>
          <cell r="E499">
            <v>36054</v>
          </cell>
          <cell r="F499">
            <v>50000</v>
          </cell>
          <cell r="G499">
            <v>181</v>
          </cell>
          <cell r="H499">
            <v>7.9899999999999999E-2</v>
          </cell>
        </row>
        <row r="500">
          <cell r="A500" t="str">
            <v>AL/FL/TX Metro - J.Barri</v>
          </cell>
          <cell r="B500" t="str">
            <v>G. Texas Equity Loan</v>
          </cell>
          <cell r="C500">
            <v>61259821</v>
          </cell>
          <cell r="D500" t="str">
            <v>ACT</v>
          </cell>
          <cell r="E500">
            <v>36048</v>
          </cell>
          <cell r="F500">
            <v>50000</v>
          </cell>
          <cell r="G500">
            <v>84</v>
          </cell>
          <cell r="H500">
            <v>7.9899999999999999E-2</v>
          </cell>
        </row>
        <row r="501">
          <cell r="A501" t="str">
            <v>AL/FL/TX Metro - J.Barri</v>
          </cell>
          <cell r="B501" t="str">
            <v>G. Texas Equity Loan</v>
          </cell>
          <cell r="C501">
            <v>61264760</v>
          </cell>
          <cell r="D501" t="str">
            <v>ACT</v>
          </cell>
          <cell r="E501">
            <v>36059</v>
          </cell>
          <cell r="F501">
            <v>50000</v>
          </cell>
          <cell r="G501">
            <v>180</v>
          </cell>
          <cell r="H501">
            <v>7.7399999999999997E-2</v>
          </cell>
        </row>
        <row r="502">
          <cell r="A502" t="str">
            <v>AL/FL/TX Metro - J.Barri</v>
          </cell>
          <cell r="B502" t="str">
            <v>G. Texas Equity Loan</v>
          </cell>
          <cell r="C502">
            <v>61265910</v>
          </cell>
          <cell r="D502" t="str">
            <v>ACT</v>
          </cell>
          <cell r="E502">
            <v>36041</v>
          </cell>
          <cell r="F502">
            <v>50000</v>
          </cell>
          <cell r="G502">
            <v>180</v>
          </cell>
          <cell r="H502">
            <v>7.7399999999999997E-2</v>
          </cell>
        </row>
        <row r="503">
          <cell r="A503" t="str">
            <v>AL/FL/TX Metro - J.Barri</v>
          </cell>
          <cell r="B503" t="str">
            <v>G. Texas Equity Loan</v>
          </cell>
          <cell r="C503">
            <v>61266712</v>
          </cell>
          <cell r="D503" t="str">
            <v>ACT</v>
          </cell>
          <cell r="E503">
            <v>36075</v>
          </cell>
          <cell r="F503">
            <v>50000</v>
          </cell>
          <cell r="G503">
            <v>180</v>
          </cell>
          <cell r="H503">
            <v>7.7399999999999997E-2</v>
          </cell>
        </row>
        <row r="504">
          <cell r="A504" t="str">
            <v>AL/FL/TX Metro - J.Barri</v>
          </cell>
          <cell r="B504" t="str">
            <v>G. Texas Equity Loan</v>
          </cell>
          <cell r="C504">
            <v>61258299</v>
          </cell>
          <cell r="D504" t="str">
            <v>ACT</v>
          </cell>
          <cell r="E504">
            <v>36042</v>
          </cell>
          <cell r="F504">
            <v>50000</v>
          </cell>
          <cell r="G504">
            <v>120</v>
          </cell>
          <cell r="H504">
            <v>7.7399999999999997E-2</v>
          </cell>
        </row>
        <row r="505">
          <cell r="A505" t="str">
            <v>AL/FL/TX Metro - J.Barri</v>
          </cell>
          <cell r="B505" t="str">
            <v>G. Texas Equity Loan</v>
          </cell>
          <cell r="C505">
            <v>61258345</v>
          </cell>
          <cell r="D505" t="str">
            <v>ACT</v>
          </cell>
          <cell r="E505">
            <v>36052</v>
          </cell>
          <cell r="F505">
            <v>50000</v>
          </cell>
          <cell r="G505">
            <v>180</v>
          </cell>
          <cell r="H505">
            <v>7.7399999999999997E-2</v>
          </cell>
        </row>
        <row r="506">
          <cell r="A506" t="str">
            <v>AL/FL/TX Metro - J.Barri</v>
          </cell>
          <cell r="B506" t="str">
            <v>G. Texas Equity Loan</v>
          </cell>
          <cell r="C506">
            <v>61267611</v>
          </cell>
          <cell r="D506" t="str">
            <v>NEW</v>
          </cell>
          <cell r="E506">
            <v>36087</v>
          </cell>
          <cell r="F506">
            <v>50000</v>
          </cell>
          <cell r="G506">
            <v>120</v>
          </cell>
          <cell r="H506">
            <v>7.7399999999999997E-2</v>
          </cell>
        </row>
        <row r="507">
          <cell r="A507" t="str">
            <v>AL/FL/TX Metro - J.Barri</v>
          </cell>
          <cell r="B507" t="str">
            <v>G. Texas Equity Loan</v>
          </cell>
          <cell r="C507">
            <v>61267956</v>
          </cell>
          <cell r="D507" t="str">
            <v>ACT</v>
          </cell>
          <cell r="E507">
            <v>36073</v>
          </cell>
          <cell r="F507">
            <v>50000</v>
          </cell>
          <cell r="G507">
            <v>180</v>
          </cell>
          <cell r="H507">
            <v>7.7399999999999997E-2</v>
          </cell>
        </row>
        <row r="508">
          <cell r="A508" t="str">
            <v>AL/FL/TX Metro - J.Barri</v>
          </cell>
          <cell r="B508" t="str">
            <v>G. Texas Equity Loan</v>
          </cell>
          <cell r="C508">
            <v>61267999</v>
          </cell>
          <cell r="D508" t="str">
            <v>ACT</v>
          </cell>
          <cell r="E508">
            <v>36077</v>
          </cell>
          <cell r="F508">
            <v>50000</v>
          </cell>
          <cell r="G508">
            <v>180</v>
          </cell>
          <cell r="H508">
            <v>7.7399999999999997E-2</v>
          </cell>
        </row>
        <row r="509">
          <cell r="A509" t="str">
            <v>AL/FL/TX Metro - J.Barri</v>
          </cell>
          <cell r="B509" t="str">
            <v>G. Texas Equity Loan</v>
          </cell>
          <cell r="C509">
            <v>61267492</v>
          </cell>
          <cell r="D509" t="str">
            <v>ACT</v>
          </cell>
          <cell r="E509">
            <v>36084</v>
          </cell>
          <cell r="F509">
            <v>50000</v>
          </cell>
          <cell r="G509">
            <v>180</v>
          </cell>
          <cell r="H509">
            <v>7.7399999999999997E-2</v>
          </cell>
        </row>
        <row r="510">
          <cell r="A510" t="str">
            <v>AL/FL/TX Metro - J.Barri</v>
          </cell>
          <cell r="B510" t="str">
            <v>G. Texas Equity Loan</v>
          </cell>
          <cell r="C510">
            <v>61289860</v>
          </cell>
          <cell r="D510" t="str">
            <v>NEW</v>
          </cell>
          <cell r="E510">
            <v>36101</v>
          </cell>
          <cell r="F510">
            <v>50000</v>
          </cell>
          <cell r="G510">
            <v>180</v>
          </cell>
          <cell r="H510">
            <v>7.7399999999999997E-2</v>
          </cell>
        </row>
        <row r="511">
          <cell r="A511" t="str">
            <v>Austin Community  - L.Leatherwood</v>
          </cell>
          <cell r="B511" t="str">
            <v>G. Texas Equity Loan</v>
          </cell>
          <cell r="C511">
            <v>61266968</v>
          </cell>
          <cell r="D511" t="str">
            <v>ACT</v>
          </cell>
          <cell r="E511">
            <v>36056</v>
          </cell>
          <cell r="F511">
            <v>50000</v>
          </cell>
          <cell r="G511">
            <v>180</v>
          </cell>
          <cell r="H511">
            <v>7.7399999999999997E-2</v>
          </cell>
        </row>
        <row r="512">
          <cell r="A512" t="str">
            <v>AL/FL/TX Metro - J.Barri</v>
          </cell>
          <cell r="B512" t="str">
            <v>G. Texas Equity Loan</v>
          </cell>
          <cell r="C512">
            <v>61266089</v>
          </cell>
          <cell r="D512" t="str">
            <v>ACT</v>
          </cell>
          <cell r="E512">
            <v>36056</v>
          </cell>
          <cell r="F512">
            <v>50000</v>
          </cell>
          <cell r="G512">
            <v>180</v>
          </cell>
          <cell r="H512">
            <v>7.4899999999999994E-2</v>
          </cell>
        </row>
        <row r="513">
          <cell r="A513" t="str">
            <v>AL/FL/TX Metro - J.Barri</v>
          </cell>
          <cell r="B513" t="str">
            <v>G. Texas Equity Loan</v>
          </cell>
          <cell r="C513">
            <v>61309497</v>
          </cell>
          <cell r="D513" t="str">
            <v>NEW</v>
          </cell>
          <cell r="E513">
            <v>36103</v>
          </cell>
          <cell r="F513">
            <v>50000</v>
          </cell>
          <cell r="G513">
            <v>180</v>
          </cell>
          <cell r="H513">
            <v>7.4899999999999994E-2</v>
          </cell>
        </row>
        <row r="514">
          <cell r="A514" t="str">
            <v>AL/FL/TX Metro - J.Barri</v>
          </cell>
          <cell r="B514" t="str">
            <v>G. Texas Equity Loan</v>
          </cell>
          <cell r="C514">
            <v>61311955</v>
          </cell>
          <cell r="D514" t="str">
            <v>NEW</v>
          </cell>
          <cell r="E514">
            <v>36108</v>
          </cell>
          <cell r="F514">
            <v>50000</v>
          </cell>
          <cell r="G514">
            <v>120</v>
          </cell>
          <cell r="H514">
            <v>7.4899999999999994E-2</v>
          </cell>
        </row>
        <row r="515">
          <cell r="A515" t="str">
            <v>AL/FL/TX Metro - J.Barri</v>
          </cell>
          <cell r="B515" t="str">
            <v>G. Texas Equity Loan</v>
          </cell>
          <cell r="C515">
            <v>61269363</v>
          </cell>
          <cell r="D515" t="str">
            <v>NEW</v>
          </cell>
          <cell r="E515">
            <v>36115</v>
          </cell>
          <cell r="F515">
            <v>50000</v>
          </cell>
          <cell r="G515">
            <v>180</v>
          </cell>
          <cell r="H515">
            <v>7.4899999999999994E-2</v>
          </cell>
        </row>
        <row r="516">
          <cell r="A516" t="str">
            <v>Texas Community  - A.Burnett</v>
          </cell>
          <cell r="B516" t="str">
            <v>G. Texas Equity Loan</v>
          </cell>
          <cell r="C516">
            <v>61311440</v>
          </cell>
          <cell r="D516" t="str">
            <v>NEW</v>
          </cell>
          <cell r="E516">
            <v>36095</v>
          </cell>
          <cell r="F516">
            <v>50000</v>
          </cell>
          <cell r="G516">
            <v>180</v>
          </cell>
          <cell r="H516">
            <v>7.4899999999999994E-2</v>
          </cell>
        </row>
        <row r="517">
          <cell r="A517" t="str">
            <v>AL/FL/TX Metro - J.Barri</v>
          </cell>
          <cell r="B517" t="str">
            <v>G. Texas Equity Loan</v>
          </cell>
          <cell r="C517">
            <v>61268448</v>
          </cell>
          <cell r="D517" t="str">
            <v>ACT</v>
          </cell>
          <cell r="E517">
            <v>36073</v>
          </cell>
          <cell r="F517">
            <v>51275</v>
          </cell>
          <cell r="G517">
            <v>180</v>
          </cell>
          <cell r="H517">
            <v>7.7399999999999997E-2</v>
          </cell>
        </row>
        <row r="518">
          <cell r="A518" t="str">
            <v>AL/FL/TX Metro - J.Barri</v>
          </cell>
          <cell r="B518" t="str">
            <v>G. Texas Equity Loan</v>
          </cell>
          <cell r="C518">
            <v>61267050</v>
          </cell>
          <cell r="D518" t="str">
            <v>ACT</v>
          </cell>
          <cell r="E518">
            <v>36073</v>
          </cell>
          <cell r="F518">
            <v>51800</v>
          </cell>
          <cell r="G518">
            <v>180</v>
          </cell>
          <cell r="H518">
            <v>7.4899999999999994E-2</v>
          </cell>
        </row>
        <row r="519">
          <cell r="A519" t="str">
            <v>AL/FL/TX Metro - J.Barri</v>
          </cell>
          <cell r="B519" t="str">
            <v>G. Texas Equity Loan</v>
          </cell>
          <cell r="C519">
            <v>61259368</v>
          </cell>
          <cell r="D519" t="str">
            <v>ACT</v>
          </cell>
          <cell r="E519">
            <v>36047</v>
          </cell>
          <cell r="F519">
            <v>52000</v>
          </cell>
          <cell r="G519">
            <v>180</v>
          </cell>
          <cell r="H519">
            <v>7.9899999999999999E-2</v>
          </cell>
        </row>
        <row r="520">
          <cell r="A520" t="str">
            <v>AL/FL/TX Metro - J.Barri</v>
          </cell>
          <cell r="B520" t="str">
            <v>G. Texas Equity Loan</v>
          </cell>
          <cell r="C520">
            <v>61267077</v>
          </cell>
          <cell r="D520" t="str">
            <v>ACT</v>
          </cell>
          <cell r="E520">
            <v>36055</v>
          </cell>
          <cell r="F520">
            <v>52800</v>
          </cell>
          <cell r="G520">
            <v>181</v>
          </cell>
          <cell r="H520">
            <v>7.9899999999999999E-2</v>
          </cell>
        </row>
        <row r="521">
          <cell r="A521" t="str">
            <v>Austin Community  - L.Leatherwood</v>
          </cell>
          <cell r="B521" t="str">
            <v>G. Texas Equity Loan</v>
          </cell>
          <cell r="C521">
            <v>61260560</v>
          </cell>
          <cell r="D521" t="str">
            <v>ACT</v>
          </cell>
          <cell r="E521">
            <v>36054</v>
          </cell>
          <cell r="F521">
            <v>53000</v>
          </cell>
          <cell r="G521">
            <v>180</v>
          </cell>
          <cell r="H521">
            <v>7.9899999999999999E-2</v>
          </cell>
        </row>
        <row r="522">
          <cell r="A522" t="str">
            <v>Texas Community  - A.Burnett</v>
          </cell>
          <cell r="B522" t="str">
            <v>G. Texas Equity Loan</v>
          </cell>
          <cell r="C522">
            <v>61259783</v>
          </cell>
          <cell r="D522" t="str">
            <v>ACT</v>
          </cell>
          <cell r="E522">
            <v>36052</v>
          </cell>
          <cell r="F522">
            <v>53600</v>
          </cell>
          <cell r="G522">
            <v>180</v>
          </cell>
          <cell r="H522">
            <v>7.7399999999999997E-2</v>
          </cell>
        </row>
        <row r="523">
          <cell r="A523" t="str">
            <v>AL/FL/TX Metro - J.Barri</v>
          </cell>
          <cell r="B523" t="str">
            <v>G. Texas Equity Loan</v>
          </cell>
          <cell r="C523">
            <v>61259449</v>
          </cell>
          <cell r="D523" t="str">
            <v>ACT</v>
          </cell>
          <cell r="E523">
            <v>36049</v>
          </cell>
          <cell r="F523">
            <v>54000</v>
          </cell>
          <cell r="G523">
            <v>180</v>
          </cell>
          <cell r="H523">
            <v>7.9899999999999999E-2</v>
          </cell>
        </row>
        <row r="524">
          <cell r="A524" t="str">
            <v>AL/FL/TX Metro - J.Barri</v>
          </cell>
          <cell r="B524" t="str">
            <v>G. Texas Equity Loan</v>
          </cell>
          <cell r="C524">
            <v>61268111</v>
          </cell>
          <cell r="D524" t="str">
            <v>ACT</v>
          </cell>
          <cell r="E524">
            <v>36082</v>
          </cell>
          <cell r="F524">
            <v>55000</v>
          </cell>
          <cell r="G524">
            <v>120</v>
          </cell>
          <cell r="H524">
            <v>7.7399999999999997E-2</v>
          </cell>
        </row>
        <row r="525">
          <cell r="A525" t="str">
            <v>Austin Community  - L.Leatherwood</v>
          </cell>
          <cell r="B525" t="str">
            <v>G. Texas Equity Loan</v>
          </cell>
          <cell r="C525">
            <v>61265163</v>
          </cell>
          <cell r="D525" t="str">
            <v>ACT</v>
          </cell>
          <cell r="E525">
            <v>36067</v>
          </cell>
          <cell r="F525">
            <v>55000</v>
          </cell>
          <cell r="G525">
            <v>181</v>
          </cell>
          <cell r="H525">
            <v>7.7399999999999997E-2</v>
          </cell>
        </row>
        <row r="526">
          <cell r="A526" t="str">
            <v>Texas Community  - A.Burnett</v>
          </cell>
          <cell r="B526" t="str">
            <v>G. Texas Equity Loan</v>
          </cell>
          <cell r="C526">
            <v>61259406</v>
          </cell>
          <cell r="D526" t="str">
            <v>ACT</v>
          </cell>
          <cell r="E526">
            <v>36049</v>
          </cell>
          <cell r="F526">
            <v>55000</v>
          </cell>
          <cell r="G526">
            <v>180</v>
          </cell>
          <cell r="H526">
            <v>7.7399999999999997E-2</v>
          </cell>
        </row>
        <row r="527">
          <cell r="A527" t="str">
            <v>AL/FL/TX Metro - J.Barri</v>
          </cell>
          <cell r="B527" t="str">
            <v>G. Texas Equity Loan</v>
          </cell>
          <cell r="C527">
            <v>61311394</v>
          </cell>
          <cell r="D527" t="str">
            <v>NEW</v>
          </cell>
          <cell r="E527">
            <v>36095</v>
          </cell>
          <cell r="F527">
            <v>56800</v>
          </cell>
          <cell r="G527">
            <v>181</v>
          </cell>
          <cell r="H527">
            <v>7.7399999999999997E-2</v>
          </cell>
        </row>
        <row r="528">
          <cell r="A528" t="str">
            <v>AL/FL/TX Metro - J.Barri</v>
          </cell>
          <cell r="B528" t="str">
            <v>G. Texas Equity Loan</v>
          </cell>
          <cell r="C528">
            <v>61266232</v>
          </cell>
          <cell r="D528" t="str">
            <v>NEW</v>
          </cell>
          <cell r="E528">
            <v>36080</v>
          </cell>
          <cell r="F528">
            <v>57000</v>
          </cell>
          <cell r="G528">
            <v>85</v>
          </cell>
          <cell r="H528">
            <v>7.7399999999999997E-2</v>
          </cell>
        </row>
        <row r="529">
          <cell r="A529" t="str">
            <v>AL/FL/TX Metro - J.Barri</v>
          </cell>
          <cell r="B529" t="str">
            <v>G. Texas Equity Loan</v>
          </cell>
          <cell r="C529">
            <v>61267549</v>
          </cell>
          <cell r="D529" t="str">
            <v>ACT</v>
          </cell>
          <cell r="E529">
            <v>36084</v>
          </cell>
          <cell r="F529">
            <v>58000</v>
          </cell>
          <cell r="G529">
            <v>180</v>
          </cell>
          <cell r="H529">
            <v>7.7399999999999997E-2</v>
          </cell>
        </row>
        <row r="530">
          <cell r="A530" t="str">
            <v>AL/FL/TX Metro - J.Barri</v>
          </cell>
          <cell r="B530" t="str">
            <v>G. Texas Equity Loan</v>
          </cell>
          <cell r="C530">
            <v>61306994</v>
          </cell>
          <cell r="D530" t="str">
            <v>NEW</v>
          </cell>
          <cell r="E530">
            <v>36112</v>
          </cell>
          <cell r="F530">
            <v>60000</v>
          </cell>
          <cell r="G530">
            <v>180</v>
          </cell>
          <cell r="H530">
            <v>7.9899999999999999E-2</v>
          </cell>
        </row>
        <row r="531">
          <cell r="A531" t="str">
            <v>Austin Community  - L.Leatherwood</v>
          </cell>
          <cell r="B531" t="str">
            <v>G. Texas Equity Loan</v>
          </cell>
          <cell r="C531">
            <v>61265961</v>
          </cell>
          <cell r="D531" t="str">
            <v>ACT</v>
          </cell>
          <cell r="E531">
            <v>36055</v>
          </cell>
          <cell r="F531">
            <v>60000</v>
          </cell>
          <cell r="G531">
            <v>180</v>
          </cell>
          <cell r="H531">
            <v>7.9899999999999999E-2</v>
          </cell>
        </row>
        <row r="532">
          <cell r="A532" t="str">
            <v>AL/FL/TX Metro - J.Barri</v>
          </cell>
          <cell r="B532" t="str">
            <v>G. Texas Equity Loan</v>
          </cell>
          <cell r="C532">
            <v>61266550</v>
          </cell>
          <cell r="D532" t="str">
            <v>ACT</v>
          </cell>
          <cell r="E532">
            <v>36075</v>
          </cell>
          <cell r="F532">
            <v>60000</v>
          </cell>
          <cell r="G532">
            <v>180</v>
          </cell>
          <cell r="H532">
            <v>7.7399999999999997E-2</v>
          </cell>
        </row>
        <row r="533">
          <cell r="A533" t="str">
            <v>AL/FL/TX Metro - J.Barri</v>
          </cell>
          <cell r="B533" t="str">
            <v>G. Texas Equity Loan</v>
          </cell>
          <cell r="C533">
            <v>61266194</v>
          </cell>
          <cell r="D533" t="str">
            <v>ACT</v>
          </cell>
          <cell r="E533">
            <v>36055</v>
          </cell>
          <cell r="F533">
            <v>60000</v>
          </cell>
          <cell r="G533">
            <v>120</v>
          </cell>
          <cell r="H533">
            <v>7.7399999999999997E-2</v>
          </cell>
        </row>
        <row r="534">
          <cell r="A534" t="str">
            <v>AL/FL/TX Metro - J.Barri</v>
          </cell>
          <cell r="B534" t="str">
            <v>G. Texas Equity Loan</v>
          </cell>
          <cell r="C534">
            <v>61257543</v>
          </cell>
          <cell r="D534" t="str">
            <v>ACT</v>
          </cell>
          <cell r="E534">
            <v>36061</v>
          </cell>
          <cell r="F534">
            <v>60000</v>
          </cell>
          <cell r="G534">
            <v>180</v>
          </cell>
          <cell r="H534">
            <v>7.7399999999999997E-2</v>
          </cell>
        </row>
        <row r="535">
          <cell r="A535" t="str">
            <v>AL/FL/TX Metro - J.Barri</v>
          </cell>
          <cell r="B535" t="str">
            <v>G. Texas Equity Loan</v>
          </cell>
          <cell r="C535">
            <v>61311041</v>
          </cell>
          <cell r="D535" t="str">
            <v>NEW</v>
          </cell>
          <cell r="E535">
            <v>36087</v>
          </cell>
          <cell r="F535">
            <v>60000</v>
          </cell>
          <cell r="G535">
            <v>180</v>
          </cell>
          <cell r="H535">
            <v>7.7399999999999997E-2</v>
          </cell>
        </row>
        <row r="536">
          <cell r="A536" t="str">
            <v>AL/FL/TX Metro - J.Barri</v>
          </cell>
          <cell r="B536" t="str">
            <v>G. Texas Equity Loan</v>
          </cell>
          <cell r="C536">
            <v>61268308</v>
          </cell>
          <cell r="D536" t="str">
            <v>ACT</v>
          </cell>
          <cell r="E536">
            <v>36081</v>
          </cell>
          <cell r="F536">
            <v>60000</v>
          </cell>
          <cell r="G536">
            <v>180</v>
          </cell>
          <cell r="H536">
            <v>7.7399999999999997E-2</v>
          </cell>
        </row>
        <row r="537">
          <cell r="A537" t="str">
            <v>Texas Community  - A.Burnett</v>
          </cell>
          <cell r="B537" t="str">
            <v>G. Texas Equity Loan</v>
          </cell>
          <cell r="C537">
            <v>61266364</v>
          </cell>
          <cell r="D537" t="str">
            <v>ACT</v>
          </cell>
          <cell r="E537">
            <v>36063</v>
          </cell>
          <cell r="F537">
            <v>60000</v>
          </cell>
          <cell r="G537">
            <v>180</v>
          </cell>
          <cell r="H537">
            <v>7.7399999999999997E-2</v>
          </cell>
        </row>
        <row r="538">
          <cell r="A538" t="str">
            <v>AL/FL/TX Metro - J.Barri</v>
          </cell>
          <cell r="B538" t="str">
            <v>G. Texas Equity Loan</v>
          </cell>
          <cell r="C538">
            <v>61310533</v>
          </cell>
          <cell r="D538" t="str">
            <v>NEW</v>
          </cell>
          <cell r="E538">
            <v>36102</v>
          </cell>
          <cell r="F538">
            <v>60000</v>
          </cell>
          <cell r="G538">
            <v>180</v>
          </cell>
          <cell r="H538">
            <v>7.4899999999999994E-2</v>
          </cell>
        </row>
        <row r="539">
          <cell r="A539" t="str">
            <v>AL/FL/TX Metro - J.Barri</v>
          </cell>
          <cell r="B539" t="str">
            <v>G. Texas Equity Loan</v>
          </cell>
          <cell r="C539">
            <v>61290052</v>
          </cell>
          <cell r="D539" t="str">
            <v>NEW</v>
          </cell>
          <cell r="E539">
            <v>36113</v>
          </cell>
          <cell r="F539">
            <v>60000</v>
          </cell>
          <cell r="G539">
            <v>181</v>
          </cell>
          <cell r="H539">
            <v>7.4899999999999994E-2</v>
          </cell>
        </row>
        <row r="540">
          <cell r="A540" t="str">
            <v>AL/FL/TX Metro - J.Barri</v>
          </cell>
          <cell r="B540" t="str">
            <v>G. Texas Equity Loan</v>
          </cell>
          <cell r="C540">
            <v>61264566</v>
          </cell>
          <cell r="D540" t="str">
            <v>ACT</v>
          </cell>
          <cell r="E540">
            <v>36063</v>
          </cell>
          <cell r="F540">
            <v>62000</v>
          </cell>
          <cell r="G540">
            <v>181</v>
          </cell>
          <cell r="H540">
            <v>7.7499999999999999E-2</v>
          </cell>
        </row>
        <row r="541">
          <cell r="A541" t="str">
            <v>AL/FL/TX Metro - J.Barri</v>
          </cell>
          <cell r="B541" t="str">
            <v>G. Texas Equity Loan</v>
          </cell>
          <cell r="C541">
            <v>61258892</v>
          </cell>
          <cell r="D541" t="str">
            <v>ACT</v>
          </cell>
          <cell r="E541">
            <v>36053</v>
          </cell>
          <cell r="F541">
            <v>65000</v>
          </cell>
          <cell r="G541">
            <v>180</v>
          </cell>
          <cell r="H541">
            <v>7.9899999999999999E-2</v>
          </cell>
        </row>
        <row r="542">
          <cell r="A542" t="str">
            <v>AL/FL/TX Metro - J.Barri</v>
          </cell>
          <cell r="B542" t="str">
            <v>G. Texas Equity Loan</v>
          </cell>
          <cell r="C542">
            <v>61257438</v>
          </cell>
          <cell r="D542" t="str">
            <v>ACT</v>
          </cell>
          <cell r="E542">
            <v>36061</v>
          </cell>
          <cell r="F542">
            <v>65000</v>
          </cell>
          <cell r="G542">
            <v>180</v>
          </cell>
          <cell r="H542">
            <v>7.7399999999999997E-2</v>
          </cell>
        </row>
        <row r="543">
          <cell r="A543" t="str">
            <v>AL/FL/TX Metro - J.Barri</v>
          </cell>
          <cell r="B543" t="str">
            <v>G. Texas Equity Loan</v>
          </cell>
          <cell r="C543">
            <v>61259554</v>
          </cell>
          <cell r="D543" t="str">
            <v>ACT</v>
          </cell>
          <cell r="E543">
            <v>36041</v>
          </cell>
          <cell r="F543">
            <v>65000</v>
          </cell>
          <cell r="G543">
            <v>180</v>
          </cell>
          <cell r="H543">
            <v>7.7399999999999997E-2</v>
          </cell>
        </row>
        <row r="544">
          <cell r="A544" t="str">
            <v>AL/FL/TX Metro - J.Barri</v>
          </cell>
          <cell r="B544" t="str">
            <v>G. Texas Equity Loan</v>
          </cell>
          <cell r="C544">
            <v>61311165</v>
          </cell>
          <cell r="D544" t="str">
            <v>NEW</v>
          </cell>
          <cell r="E544">
            <v>36094</v>
          </cell>
          <cell r="F544">
            <v>65000</v>
          </cell>
          <cell r="G544">
            <v>180</v>
          </cell>
          <cell r="H544">
            <v>7.7399999999999997E-2</v>
          </cell>
        </row>
        <row r="545">
          <cell r="A545" t="str">
            <v>Austin Community  - L.Leatherwood</v>
          </cell>
          <cell r="B545" t="str">
            <v>G. Texas Equity Loan</v>
          </cell>
          <cell r="C545">
            <v>61265112</v>
          </cell>
          <cell r="D545" t="str">
            <v>ACT</v>
          </cell>
          <cell r="E545">
            <v>36066</v>
          </cell>
          <cell r="F545">
            <v>65000</v>
          </cell>
          <cell r="G545">
            <v>180</v>
          </cell>
          <cell r="H545">
            <v>7.7399999999999997E-2</v>
          </cell>
        </row>
        <row r="546">
          <cell r="A546" t="str">
            <v>Austin Community  - L.Leatherwood</v>
          </cell>
          <cell r="B546" t="str">
            <v>G. Texas Equity Loan</v>
          </cell>
          <cell r="C546">
            <v>61266887</v>
          </cell>
          <cell r="D546" t="str">
            <v>ACT</v>
          </cell>
          <cell r="E546">
            <v>36077</v>
          </cell>
          <cell r="F546">
            <v>65000</v>
          </cell>
          <cell r="G546">
            <v>180</v>
          </cell>
          <cell r="H546">
            <v>7.7399999999999997E-2</v>
          </cell>
        </row>
        <row r="547">
          <cell r="A547" t="str">
            <v>Texas Community  - A.Burnett</v>
          </cell>
          <cell r="B547" t="str">
            <v>G. Texas Equity Loan</v>
          </cell>
          <cell r="C547">
            <v>61290761</v>
          </cell>
          <cell r="D547" t="str">
            <v>NEW</v>
          </cell>
          <cell r="E547">
            <v>36103</v>
          </cell>
          <cell r="F547">
            <v>65000</v>
          </cell>
          <cell r="G547">
            <v>180</v>
          </cell>
          <cell r="H547">
            <v>7.7399999999999997E-2</v>
          </cell>
        </row>
        <row r="548">
          <cell r="A548" t="str">
            <v>AL/FL/TX Metro - J.Barri</v>
          </cell>
          <cell r="B548" t="str">
            <v>G. Texas Equity Loan</v>
          </cell>
          <cell r="C548">
            <v>61268715</v>
          </cell>
          <cell r="D548" t="str">
            <v>ACT</v>
          </cell>
          <cell r="E548">
            <v>36091</v>
          </cell>
          <cell r="F548">
            <v>65000</v>
          </cell>
          <cell r="G548">
            <v>181</v>
          </cell>
          <cell r="H548">
            <v>7.4899999999999994E-2</v>
          </cell>
        </row>
        <row r="549">
          <cell r="A549" t="str">
            <v>Austin Community  - L.Leatherwood</v>
          </cell>
          <cell r="B549" t="str">
            <v>G. Texas Equity Loan</v>
          </cell>
          <cell r="C549">
            <v>61290893</v>
          </cell>
          <cell r="D549" t="str">
            <v>NEW</v>
          </cell>
          <cell r="E549">
            <v>36104</v>
          </cell>
          <cell r="F549">
            <v>65450</v>
          </cell>
          <cell r="G549">
            <v>180</v>
          </cell>
          <cell r="H549">
            <v>8.2500000000000004E-2</v>
          </cell>
        </row>
        <row r="550">
          <cell r="A550" t="str">
            <v>AL/FL/TX Metro - J.Barri</v>
          </cell>
          <cell r="B550" t="str">
            <v>G. Texas Equity Loan</v>
          </cell>
          <cell r="C550">
            <v>61267603</v>
          </cell>
          <cell r="D550" t="str">
            <v>ACT</v>
          </cell>
          <cell r="E550">
            <v>36082</v>
          </cell>
          <cell r="F550">
            <v>66000</v>
          </cell>
          <cell r="G550">
            <v>180</v>
          </cell>
          <cell r="H550">
            <v>7.7399999999999997E-2</v>
          </cell>
        </row>
        <row r="551">
          <cell r="A551" t="str">
            <v>Austin Community  - L.Leatherwood</v>
          </cell>
          <cell r="B551" t="str">
            <v>G. Texas Equity Loan</v>
          </cell>
          <cell r="C551">
            <v>61265473</v>
          </cell>
          <cell r="D551" t="str">
            <v>ACT</v>
          </cell>
          <cell r="E551">
            <v>36061</v>
          </cell>
          <cell r="F551">
            <v>67600</v>
          </cell>
          <cell r="G551">
            <v>180</v>
          </cell>
          <cell r="H551">
            <v>7.9899999999999999E-2</v>
          </cell>
        </row>
        <row r="552">
          <cell r="A552" t="str">
            <v>AL/FL/TX Metro - J.Barri</v>
          </cell>
          <cell r="B552" t="str">
            <v>G. Texas Equity Loan</v>
          </cell>
          <cell r="C552">
            <v>61257373</v>
          </cell>
          <cell r="D552" t="str">
            <v>ACT</v>
          </cell>
          <cell r="E552">
            <v>36066</v>
          </cell>
          <cell r="F552">
            <v>68000</v>
          </cell>
          <cell r="G552">
            <v>180</v>
          </cell>
          <cell r="H552">
            <v>7.9899999999999999E-2</v>
          </cell>
        </row>
        <row r="553">
          <cell r="A553" t="str">
            <v>AL/FL/TX Metro - J.Barri</v>
          </cell>
          <cell r="B553" t="str">
            <v>G. Texas Equity Loan</v>
          </cell>
          <cell r="C553">
            <v>61260366</v>
          </cell>
          <cell r="D553" t="str">
            <v>ACT</v>
          </cell>
          <cell r="E553">
            <v>36041</v>
          </cell>
          <cell r="F553">
            <v>69600</v>
          </cell>
          <cell r="G553">
            <v>180</v>
          </cell>
          <cell r="H553">
            <v>7.7399999999999997E-2</v>
          </cell>
        </row>
        <row r="554">
          <cell r="A554" t="str">
            <v>AL/FL/TX Metro - J.Barri</v>
          </cell>
          <cell r="B554" t="str">
            <v>G. Texas Equity Loan</v>
          </cell>
          <cell r="C554">
            <v>61307117</v>
          </cell>
          <cell r="D554" t="str">
            <v>NEW</v>
          </cell>
          <cell r="E554">
            <v>36112</v>
          </cell>
          <cell r="F554">
            <v>69700</v>
          </cell>
          <cell r="G554">
            <v>180</v>
          </cell>
          <cell r="H554">
            <v>7.4899999999999994E-2</v>
          </cell>
        </row>
        <row r="555">
          <cell r="A555" t="str">
            <v>AL/FL/TX Metro - J.Barri</v>
          </cell>
          <cell r="B555" t="str">
            <v>G. Texas Equity Loan</v>
          </cell>
          <cell r="C555">
            <v>61265848</v>
          </cell>
          <cell r="D555" t="str">
            <v>ACT</v>
          </cell>
          <cell r="E555">
            <v>36073</v>
          </cell>
          <cell r="F555">
            <v>70000</v>
          </cell>
          <cell r="G555">
            <v>180</v>
          </cell>
          <cell r="H555">
            <v>7.7399999999999997E-2</v>
          </cell>
        </row>
        <row r="556">
          <cell r="A556" t="str">
            <v>AL/FL/TX Metro - J.Barri</v>
          </cell>
          <cell r="B556" t="str">
            <v>G. Texas Equity Loan</v>
          </cell>
          <cell r="C556">
            <v>61269819</v>
          </cell>
          <cell r="D556" t="str">
            <v>ACT</v>
          </cell>
          <cell r="E556">
            <v>36083</v>
          </cell>
          <cell r="F556">
            <v>70000</v>
          </cell>
          <cell r="G556">
            <v>180</v>
          </cell>
          <cell r="H556">
            <v>7.7399999999999997E-2</v>
          </cell>
        </row>
        <row r="557">
          <cell r="A557" t="str">
            <v>Texas Community  - A.Burnett</v>
          </cell>
          <cell r="B557" t="str">
            <v>G. Texas Equity Loan</v>
          </cell>
          <cell r="C557">
            <v>61290346</v>
          </cell>
          <cell r="D557" t="str">
            <v>NEW</v>
          </cell>
          <cell r="E557">
            <v>36108</v>
          </cell>
          <cell r="F557">
            <v>70500</v>
          </cell>
          <cell r="G557">
            <v>180</v>
          </cell>
          <cell r="H557">
            <v>7.7399999999999997E-2</v>
          </cell>
        </row>
        <row r="558">
          <cell r="A558" t="str">
            <v>AL/FL/TX Metro - J.Barri</v>
          </cell>
          <cell r="B558" t="str">
            <v>G. Texas Equity Loan</v>
          </cell>
          <cell r="C558">
            <v>61265783</v>
          </cell>
          <cell r="D558" t="str">
            <v>ACT</v>
          </cell>
          <cell r="E558">
            <v>36076</v>
          </cell>
          <cell r="F558">
            <v>75000</v>
          </cell>
          <cell r="G558">
            <v>180</v>
          </cell>
          <cell r="H558">
            <v>7.9899999999999999E-2</v>
          </cell>
        </row>
        <row r="559">
          <cell r="A559" t="str">
            <v>AL/FL/TX Metro - J.Barri</v>
          </cell>
          <cell r="B559" t="str">
            <v>G. Texas Equity Loan</v>
          </cell>
          <cell r="C559">
            <v>61266038</v>
          </cell>
          <cell r="D559" t="str">
            <v>ACT</v>
          </cell>
          <cell r="E559">
            <v>36055</v>
          </cell>
          <cell r="F559">
            <v>75000</v>
          </cell>
          <cell r="G559">
            <v>180</v>
          </cell>
          <cell r="H559">
            <v>7.9899999999999999E-2</v>
          </cell>
        </row>
        <row r="560">
          <cell r="A560" t="str">
            <v>AL/FL/TX Metro - J.Barri</v>
          </cell>
          <cell r="B560" t="str">
            <v>G. Texas Equity Loan</v>
          </cell>
          <cell r="C560">
            <v>61310266</v>
          </cell>
          <cell r="D560" t="str">
            <v>NEW</v>
          </cell>
          <cell r="E560">
            <v>36101</v>
          </cell>
          <cell r="F560">
            <v>75000</v>
          </cell>
          <cell r="G560">
            <v>120</v>
          </cell>
          <cell r="H560">
            <v>7.7399999999999997E-2</v>
          </cell>
        </row>
        <row r="561">
          <cell r="A561" t="str">
            <v>Texas Community  - A.Burnett</v>
          </cell>
          <cell r="B561" t="str">
            <v>G. Texas Equity Loan</v>
          </cell>
          <cell r="C561">
            <v>61208127</v>
          </cell>
          <cell r="D561" t="str">
            <v>NEW</v>
          </cell>
          <cell r="E561">
            <v>36094</v>
          </cell>
          <cell r="F561">
            <v>75000</v>
          </cell>
          <cell r="G561">
            <v>180</v>
          </cell>
          <cell r="H561">
            <v>7.7399999999999997E-2</v>
          </cell>
        </row>
        <row r="562">
          <cell r="A562" t="str">
            <v>Texas Community  - A.Burnett</v>
          </cell>
          <cell r="B562" t="str">
            <v>G. Texas Equity Loan</v>
          </cell>
          <cell r="C562">
            <v>61269630</v>
          </cell>
          <cell r="D562" t="str">
            <v>NEW</v>
          </cell>
          <cell r="E562">
            <v>36098</v>
          </cell>
          <cell r="F562">
            <v>75000</v>
          </cell>
          <cell r="G562">
            <v>180</v>
          </cell>
          <cell r="H562">
            <v>7.7399999999999997E-2</v>
          </cell>
        </row>
        <row r="563">
          <cell r="A563" t="str">
            <v>AL/FL/TX Metro - J.Barri</v>
          </cell>
          <cell r="B563" t="str">
            <v>G. Texas Equity Loan</v>
          </cell>
          <cell r="C563">
            <v>61290826</v>
          </cell>
          <cell r="D563" t="str">
            <v>NEW</v>
          </cell>
          <cell r="E563">
            <v>36108</v>
          </cell>
          <cell r="F563">
            <v>75000</v>
          </cell>
          <cell r="G563">
            <v>180</v>
          </cell>
          <cell r="H563">
            <v>7.4899999999999994E-2</v>
          </cell>
        </row>
        <row r="564">
          <cell r="A564" t="str">
            <v>Austin Community  - L.Leatherwood</v>
          </cell>
          <cell r="B564" t="str">
            <v>G. Texas Equity Loan</v>
          </cell>
          <cell r="C564">
            <v>61311335</v>
          </cell>
          <cell r="D564" t="str">
            <v>NEW</v>
          </cell>
          <cell r="E564">
            <v>36092</v>
          </cell>
          <cell r="F564">
            <v>76000</v>
          </cell>
          <cell r="G564">
            <v>180</v>
          </cell>
          <cell r="H564">
            <v>7.7399999999999997E-2</v>
          </cell>
        </row>
        <row r="565">
          <cell r="A565" t="str">
            <v>AL/FL/TX Metro - J.Barri</v>
          </cell>
          <cell r="B565" t="str">
            <v>G. Texas Equity Loan</v>
          </cell>
          <cell r="C565">
            <v>61309845</v>
          </cell>
          <cell r="D565" t="str">
            <v>NEW</v>
          </cell>
          <cell r="E565">
            <v>36098</v>
          </cell>
          <cell r="F565">
            <v>76000</v>
          </cell>
          <cell r="G565">
            <v>180</v>
          </cell>
          <cell r="H565">
            <v>7.4899999999999994E-2</v>
          </cell>
        </row>
        <row r="566">
          <cell r="A566" t="str">
            <v>AL/FL/TX Metro - J.Barri</v>
          </cell>
          <cell r="B566" t="str">
            <v>G. Texas Equity Loan</v>
          </cell>
          <cell r="C566">
            <v>61268820</v>
          </cell>
          <cell r="D566" t="str">
            <v>NEW</v>
          </cell>
          <cell r="E566">
            <v>36090</v>
          </cell>
          <cell r="F566">
            <v>76000</v>
          </cell>
          <cell r="G566">
            <v>60</v>
          </cell>
          <cell r="H566">
            <v>7.4899999999999994E-2</v>
          </cell>
        </row>
        <row r="567">
          <cell r="A567" t="str">
            <v>AL/FL/TX Metro - J.Barri</v>
          </cell>
          <cell r="B567" t="str">
            <v>G. Texas Equity Loan</v>
          </cell>
          <cell r="C567">
            <v>61266658</v>
          </cell>
          <cell r="D567" t="str">
            <v>ACT</v>
          </cell>
          <cell r="E567">
            <v>36060</v>
          </cell>
          <cell r="F567">
            <v>76640</v>
          </cell>
          <cell r="G567">
            <v>180</v>
          </cell>
          <cell r="H567">
            <v>7.7399999999999997E-2</v>
          </cell>
        </row>
        <row r="568">
          <cell r="A568" t="str">
            <v>Austin Community  - L.Leatherwood</v>
          </cell>
          <cell r="B568" t="str">
            <v>G. Texas Equity Loan</v>
          </cell>
          <cell r="C568">
            <v>61265554</v>
          </cell>
          <cell r="D568" t="str">
            <v>ACT</v>
          </cell>
          <cell r="E568">
            <v>36066</v>
          </cell>
          <cell r="F568">
            <v>79000</v>
          </cell>
          <cell r="G568">
            <v>180</v>
          </cell>
          <cell r="H568">
            <v>7.7399999999999997E-2</v>
          </cell>
        </row>
        <row r="569">
          <cell r="A569" t="str">
            <v>Austin Community  - L.Leatherwood</v>
          </cell>
          <cell r="B569" t="str">
            <v>G. Texas Equity Loan</v>
          </cell>
          <cell r="C569">
            <v>61267786</v>
          </cell>
          <cell r="D569" t="str">
            <v>ACT</v>
          </cell>
          <cell r="E569">
            <v>36084</v>
          </cell>
          <cell r="F569">
            <v>79000</v>
          </cell>
          <cell r="G569">
            <v>180</v>
          </cell>
          <cell r="H569">
            <v>7.7399999999999997E-2</v>
          </cell>
        </row>
        <row r="570">
          <cell r="A570" t="str">
            <v>AL/FL/TX Metro - J.Barri</v>
          </cell>
          <cell r="B570" t="str">
            <v>G. Texas Equity Loan</v>
          </cell>
          <cell r="C570">
            <v>61265724</v>
          </cell>
          <cell r="D570" t="str">
            <v>ACT</v>
          </cell>
          <cell r="E570">
            <v>36073</v>
          </cell>
          <cell r="F570">
            <v>80000</v>
          </cell>
          <cell r="G570">
            <v>180</v>
          </cell>
          <cell r="H570">
            <v>7.9899999999999999E-2</v>
          </cell>
        </row>
        <row r="571">
          <cell r="A571" t="str">
            <v>AL/FL/TX Metro - J.Barri</v>
          </cell>
          <cell r="B571" t="str">
            <v>G. Texas Equity Loan</v>
          </cell>
          <cell r="C571">
            <v>61265813</v>
          </cell>
          <cell r="D571" t="str">
            <v>ACT</v>
          </cell>
          <cell r="E571">
            <v>36067</v>
          </cell>
          <cell r="F571">
            <v>80000</v>
          </cell>
          <cell r="G571">
            <v>121</v>
          </cell>
          <cell r="H571">
            <v>7.7399999999999997E-2</v>
          </cell>
        </row>
        <row r="572">
          <cell r="A572" t="str">
            <v>AL/FL/TX Metro - J.Barri</v>
          </cell>
          <cell r="B572" t="str">
            <v>G. Texas Equity Loan</v>
          </cell>
          <cell r="C572">
            <v>61265937</v>
          </cell>
          <cell r="D572" t="str">
            <v>ACT</v>
          </cell>
          <cell r="E572">
            <v>36067</v>
          </cell>
          <cell r="F572">
            <v>80000</v>
          </cell>
          <cell r="G572">
            <v>120</v>
          </cell>
          <cell r="H572">
            <v>7.7399999999999997E-2</v>
          </cell>
        </row>
        <row r="573">
          <cell r="A573" t="str">
            <v>AL/FL/TX Metro - J.Barri</v>
          </cell>
          <cell r="B573" t="str">
            <v>G. Texas Equity Loan</v>
          </cell>
          <cell r="C573">
            <v>61258965</v>
          </cell>
          <cell r="D573" t="str">
            <v>ACT</v>
          </cell>
          <cell r="E573">
            <v>36053</v>
          </cell>
          <cell r="F573">
            <v>80000</v>
          </cell>
          <cell r="G573">
            <v>180</v>
          </cell>
          <cell r="H573">
            <v>7.7399999999999997E-2</v>
          </cell>
        </row>
        <row r="574">
          <cell r="A574" t="str">
            <v>AL/FL/TX Metro - J.Barri</v>
          </cell>
          <cell r="B574" t="str">
            <v>G. Texas Equity Loan</v>
          </cell>
          <cell r="C574">
            <v>61269061</v>
          </cell>
          <cell r="D574" t="str">
            <v>NEW</v>
          </cell>
          <cell r="E574">
            <v>36091</v>
          </cell>
          <cell r="F574">
            <v>80000</v>
          </cell>
          <cell r="G574">
            <v>180</v>
          </cell>
          <cell r="H574">
            <v>7.7399999999999997E-2</v>
          </cell>
        </row>
        <row r="575">
          <cell r="A575" t="str">
            <v>AL/FL/TX Metro - J.Barri</v>
          </cell>
          <cell r="B575" t="str">
            <v>G. Texas Equity Loan</v>
          </cell>
          <cell r="C575">
            <v>61311653</v>
          </cell>
          <cell r="D575" t="str">
            <v>NEW</v>
          </cell>
          <cell r="E575">
            <v>36096</v>
          </cell>
          <cell r="F575">
            <v>80000</v>
          </cell>
          <cell r="G575">
            <v>180</v>
          </cell>
          <cell r="H575">
            <v>7.4899999999999994E-2</v>
          </cell>
        </row>
        <row r="576">
          <cell r="A576" t="str">
            <v>AL/FL/TX Metro - J.Barri</v>
          </cell>
          <cell r="B576" t="str">
            <v>G. Texas Equity Loan</v>
          </cell>
          <cell r="C576">
            <v>61290397</v>
          </cell>
          <cell r="D576" t="str">
            <v>NEW</v>
          </cell>
          <cell r="E576">
            <v>36105</v>
          </cell>
          <cell r="F576">
            <v>80000</v>
          </cell>
          <cell r="G576">
            <v>180</v>
          </cell>
          <cell r="H576">
            <v>7.4899999999999994E-2</v>
          </cell>
        </row>
        <row r="577">
          <cell r="A577" t="str">
            <v>Texas Community  - A.Burnett</v>
          </cell>
          <cell r="B577" t="str">
            <v>G. Texas Equity Loan</v>
          </cell>
          <cell r="C577">
            <v>61269010</v>
          </cell>
          <cell r="D577" t="str">
            <v>NEW</v>
          </cell>
          <cell r="E577">
            <v>36091</v>
          </cell>
          <cell r="F577">
            <v>80000</v>
          </cell>
          <cell r="G577">
            <v>181</v>
          </cell>
          <cell r="H577">
            <v>7.4899999999999994E-2</v>
          </cell>
        </row>
        <row r="578">
          <cell r="A578" t="str">
            <v>AL/FL/TX Metro - J.Barri</v>
          </cell>
          <cell r="B578" t="str">
            <v>G. Texas Equity Loan</v>
          </cell>
          <cell r="C578">
            <v>61259945</v>
          </cell>
          <cell r="D578" t="str">
            <v>ACT</v>
          </cell>
          <cell r="E578">
            <v>36053</v>
          </cell>
          <cell r="F578">
            <v>85000</v>
          </cell>
          <cell r="G578">
            <v>180</v>
          </cell>
          <cell r="H578">
            <v>7.7399999999999997E-2</v>
          </cell>
        </row>
        <row r="579">
          <cell r="A579" t="str">
            <v>AL/FL/TX Metro - J.Barri</v>
          </cell>
          <cell r="B579" t="str">
            <v>G. Texas Equity Loan</v>
          </cell>
          <cell r="C579">
            <v>61311513</v>
          </cell>
          <cell r="D579" t="str">
            <v>NEW</v>
          </cell>
          <cell r="E579">
            <v>36081</v>
          </cell>
          <cell r="F579">
            <v>85000</v>
          </cell>
          <cell r="G579">
            <v>180</v>
          </cell>
          <cell r="H579">
            <v>7.7399999999999997E-2</v>
          </cell>
        </row>
        <row r="580">
          <cell r="A580" t="str">
            <v>Texas Community  - A.Burnett</v>
          </cell>
          <cell r="B580" t="str">
            <v>G. Texas Equity Loan</v>
          </cell>
          <cell r="C580">
            <v>61306951</v>
          </cell>
          <cell r="D580" t="str">
            <v>NEW</v>
          </cell>
          <cell r="E580">
            <v>36111</v>
          </cell>
          <cell r="F580">
            <v>85000</v>
          </cell>
          <cell r="G580">
            <v>180</v>
          </cell>
          <cell r="H580">
            <v>7.4899999999999994E-2</v>
          </cell>
        </row>
        <row r="581">
          <cell r="A581" t="str">
            <v>Austin Community  - L.Leatherwood</v>
          </cell>
          <cell r="B581" t="str">
            <v>G. Texas Equity Loan</v>
          </cell>
          <cell r="C581">
            <v>61311378</v>
          </cell>
          <cell r="D581" t="str">
            <v>NEW</v>
          </cell>
          <cell r="E581">
            <v>36094</v>
          </cell>
          <cell r="F581">
            <v>90000</v>
          </cell>
          <cell r="G581">
            <v>120</v>
          </cell>
          <cell r="H581">
            <v>7.7399999999999997E-2</v>
          </cell>
        </row>
        <row r="582">
          <cell r="A582" t="str">
            <v>AL/FL/TX Metro - J.Barri</v>
          </cell>
          <cell r="B582" t="str">
            <v>G. Texas Equity Loan</v>
          </cell>
          <cell r="C582">
            <v>61265236</v>
          </cell>
          <cell r="D582" t="str">
            <v>ACT</v>
          </cell>
          <cell r="E582">
            <v>36067</v>
          </cell>
          <cell r="F582">
            <v>95000</v>
          </cell>
          <cell r="G582">
            <v>180</v>
          </cell>
          <cell r="H582">
            <v>7.4899999999999994E-2</v>
          </cell>
        </row>
        <row r="583">
          <cell r="A583" t="str">
            <v>AL/FL/TX Metro - J.Barri</v>
          </cell>
          <cell r="B583" t="str">
            <v>G. Texas Equity Loan</v>
          </cell>
          <cell r="C583">
            <v>61267107</v>
          </cell>
          <cell r="D583" t="str">
            <v>ACT</v>
          </cell>
          <cell r="E583">
            <v>36076</v>
          </cell>
          <cell r="F583">
            <v>98000</v>
          </cell>
          <cell r="G583">
            <v>180</v>
          </cell>
          <cell r="H583">
            <v>7.7399999999999997E-2</v>
          </cell>
        </row>
        <row r="584">
          <cell r="A584" t="str">
            <v>AL/FL/TX Metro - J.Barri</v>
          </cell>
          <cell r="B584" t="str">
            <v>G. Texas Equity Loan</v>
          </cell>
          <cell r="C584">
            <v>61267883</v>
          </cell>
          <cell r="D584" t="str">
            <v>ACT</v>
          </cell>
          <cell r="E584">
            <v>36056</v>
          </cell>
          <cell r="F584">
            <v>99000</v>
          </cell>
          <cell r="G584">
            <v>181</v>
          </cell>
          <cell r="H584">
            <v>7.7399999999999997E-2</v>
          </cell>
        </row>
        <row r="585">
          <cell r="A585" t="str">
            <v>AL/FL/TX Metro - J.Barri</v>
          </cell>
          <cell r="B585" t="str">
            <v>G. Texas Equity Loan</v>
          </cell>
          <cell r="C585">
            <v>61267778</v>
          </cell>
          <cell r="D585" t="str">
            <v>ACT</v>
          </cell>
          <cell r="E585">
            <v>36070</v>
          </cell>
          <cell r="F585">
            <v>99000</v>
          </cell>
          <cell r="G585">
            <v>180</v>
          </cell>
          <cell r="H585">
            <v>7.7399999999999997E-2</v>
          </cell>
        </row>
        <row r="586">
          <cell r="A586" t="str">
            <v>AL/FL/TX Metro - J.Barri</v>
          </cell>
          <cell r="B586" t="str">
            <v>G. Texas Equity Loan</v>
          </cell>
          <cell r="C586">
            <v>61290923</v>
          </cell>
          <cell r="D586" t="str">
            <v>NEW</v>
          </cell>
          <cell r="E586">
            <v>36109</v>
          </cell>
          <cell r="F586">
            <v>99500</v>
          </cell>
          <cell r="G586">
            <v>181</v>
          </cell>
          <cell r="H586">
            <v>7.4899999999999994E-2</v>
          </cell>
        </row>
        <row r="587">
          <cell r="A587" t="str">
            <v>AL/FL/TX Metro - J.Barri</v>
          </cell>
          <cell r="B587" t="str">
            <v>G. Texas Equity Loan</v>
          </cell>
          <cell r="C587">
            <v>61265082</v>
          </cell>
          <cell r="D587" t="str">
            <v>ACT</v>
          </cell>
          <cell r="E587">
            <v>36070</v>
          </cell>
          <cell r="F587">
            <v>99900</v>
          </cell>
          <cell r="G587">
            <v>180</v>
          </cell>
          <cell r="H587">
            <v>7.7399999999999997E-2</v>
          </cell>
        </row>
        <row r="588">
          <cell r="A588" t="str">
            <v>AL/FL/TX Metro - J.Barri</v>
          </cell>
          <cell r="B588" t="str">
            <v>G. Texas Equity Loan</v>
          </cell>
          <cell r="C588">
            <v>61258612</v>
          </cell>
          <cell r="D588" t="str">
            <v>ACT</v>
          </cell>
          <cell r="E588">
            <v>36053</v>
          </cell>
          <cell r="F588">
            <v>99999</v>
          </cell>
          <cell r="G588">
            <v>180</v>
          </cell>
          <cell r="H588">
            <v>7.9899999999999999E-2</v>
          </cell>
        </row>
        <row r="589">
          <cell r="A589" t="str">
            <v>AL/FL/TX Metro - J.Barri</v>
          </cell>
          <cell r="B589" t="str">
            <v>G. Texas Equity Loan</v>
          </cell>
          <cell r="C589">
            <v>61267824</v>
          </cell>
          <cell r="D589" t="str">
            <v>ACT</v>
          </cell>
          <cell r="E589">
            <v>36081</v>
          </cell>
          <cell r="F589">
            <v>99999</v>
          </cell>
          <cell r="G589">
            <v>180</v>
          </cell>
          <cell r="H589">
            <v>7.7399999999999997E-2</v>
          </cell>
        </row>
        <row r="590">
          <cell r="A590" t="str">
            <v>AL/FL/TX Metro - J.Barri</v>
          </cell>
          <cell r="B590" t="str">
            <v>G. Texas Equity Loan</v>
          </cell>
          <cell r="C590">
            <v>61266240</v>
          </cell>
          <cell r="D590" t="str">
            <v>ACT</v>
          </cell>
          <cell r="E590">
            <v>36042</v>
          </cell>
          <cell r="F590">
            <v>99999</v>
          </cell>
          <cell r="G590">
            <v>180</v>
          </cell>
          <cell r="H590">
            <v>7.4899999999999994E-2</v>
          </cell>
        </row>
        <row r="591">
          <cell r="A591" t="str">
            <v>AL/FL/TX Metro - J.Barri</v>
          </cell>
          <cell r="B591" t="str">
            <v>G. Texas Equity Loan</v>
          </cell>
          <cell r="C591">
            <v>61311890</v>
          </cell>
          <cell r="D591" t="str">
            <v>NEW</v>
          </cell>
          <cell r="E591">
            <v>36096</v>
          </cell>
          <cell r="F591">
            <v>99999</v>
          </cell>
          <cell r="G591">
            <v>36</v>
          </cell>
          <cell r="H591">
            <v>7.4899999999999994E-2</v>
          </cell>
        </row>
        <row r="592">
          <cell r="A592" t="str">
            <v>Texas Community  - A.Burnett</v>
          </cell>
          <cell r="B592" t="str">
            <v>G. Texas Equity Loan</v>
          </cell>
          <cell r="C592">
            <v>61258396</v>
          </cell>
          <cell r="D592" t="str">
            <v>ACT</v>
          </cell>
          <cell r="E592">
            <v>36046</v>
          </cell>
          <cell r="F592">
            <v>100000</v>
          </cell>
          <cell r="G592">
            <v>180</v>
          </cell>
          <cell r="H592">
            <v>7.9899999999999999E-2</v>
          </cell>
        </row>
        <row r="593">
          <cell r="A593" t="str">
            <v>AL/FL/TX Metro - J.Barri</v>
          </cell>
          <cell r="B593" t="str">
            <v>G. Texas Equity Loan</v>
          </cell>
          <cell r="C593">
            <v>61310487</v>
          </cell>
          <cell r="D593" t="str">
            <v>NEW</v>
          </cell>
          <cell r="E593">
            <v>36095</v>
          </cell>
          <cell r="F593">
            <v>100000</v>
          </cell>
          <cell r="G593">
            <v>180</v>
          </cell>
          <cell r="H593">
            <v>7.7399999999999997E-2</v>
          </cell>
        </row>
        <row r="594">
          <cell r="A594" t="str">
            <v>AL/FL/TX Metro - J.Barri</v>
          </cell>
          <cell r="B594" t="str">
            <v>G. Texas Equity Loan</v>
          </cell>
          <cell r="C594">
            <v>61267980</v>
          </cell>
          <cell r="D594" t="str">
            <v>ACT</v>
          </cell>
          <cell r="E594">
            <v>36084</v>
          </cell>
          <cell r="F594">
            <v>100000</v>
          </cell>
          <cell r="G594">
            <v>180</v>
          </cell>
          <cell r="H594">
            <v>7.7399999999999997E-2</v>
          </cell>
        </row>
        <row r="595">
          <cell r="A595" t="str">
            <v>Austin Community  - L.Leatherwood</v>
          </cell>
          <cell r="B595" t="str">
            <v>G. Texas Equity Loan</v>
          </cell>
          <cell r="C595">
            <v>61257608</v>
          </cell>
          <cell r="D595" t="str">
            <v>ACT</v>
          </cell>
          <cell r="E595">
            <v>36059</v>
          </cell>
          <cell r="F595">
            <v>100000</v>
          </cell>
          <cell r="G595">
            <v>120</v>
          </cell>
          <cell r="H595">
            <v>7.7399999999999997E-2</v>
          </cell>
        </row>
        <row r="596">
          <cell r="A596" t="str">
            <v>AL/FL/TX Metro - J.Barri</v>
          </cell>
          <cell r="B596" t="str">
            <v>G. Texas Equity Loan</v>
          </cell>
          <cell r="C596">
            <v>61290419</v>
          </cell>
          <cell r="D596" t="str">
            <v>NEW</v>
          </cell>
          <cell r="E596">
            <v>36111</v>
          </cell>
          <cell r="F596">
            <v>116000</v>
          </cell>
          <cell r="G596">
            <v>180</v>
          </cell>
          <cell r="H596">
            <v>7.9899999999999999E-2</v>
          </cell>
        </row>
        <row r="597">
          <cell r="A597" t="str">
            <v>AL/FL/TX Metro - J.Barri</v>
          </cell>
          <cell r="B597" t="str">
            <v>G. Texas Equity Loan</v>
          </cell>
          <cell r="C597">
            <v>61257934</v>
          </cell>
          <cell r="D597" t="str">
            <v>ACT</v>
          </cell>
          <cell r="E597">
            <v>36062</v>
          </cell>
          <cell r="F597">
            <v>148000</v>
          </cell>
          <cell r="G597">
            <v>180</v>
          </cell>
          <cell r="H597">
            <v>7.9899999999999999E-2</v>
          </cell>
        </row>
        <row r="598">
          <cell r="A598" t="str">
            <v>Austin Community  - L.Leatherwood</v>
          </cell>
          <cell r="B598" t="str">
            <v>G. Texas Equity Loan</v>
          </cell>
          <cell r="C598">
            <v>61265678</v>
          </cell>
          <cell r="D598" t="str">
            <v>ACT</v>
          </cell>
          <cell r="E598">
            <v>36070</v>
          </cell>
          <cell r="F598">
            <v>150000</v>
          </cell>
          <cell r="G598">
            <v>180</v>
          </cell>
          <cell r="H598">
            <v>7.7399999999999997E-2</v>
          </cell>
        </row>
        <row r="599">
          <cell r="A599" t="str">
            <v>Austin Community  - L.Leatherwood</v>
          </cell>
          <cell r="B599" t="str">
            <v>G. Texas Equity Loan</v>
          </cell>
          <cell r="C599">
            <v>61290206</v>
          </cell>
          <cell r="D599" t="str">
            <v>NEW</v>
          </cell>
          <cell r="E599">
            <v>36112</v>
          </cell>
          <cell r="F599">
            <v>150000</v>
          </cell>
          <cell r="G599">
            <v>180</v>
          </cell>
          <cell r="H599">
            <v>7.4899999999999994E-2</v>
          </cell>
        </row>
        <row r="600">
          <cell r="A600" t="str">
            <v>Texas Community  - A.Burnett</v>
          </cell>
          <cell r="B600" t="str">
            <v>G. Texas Equity Loan</v>
          </cell>
          <cell r="C600">
            <v>61269002</v>
          </cell>
          <cell r="D600" t="str">
            <v>ACT</v>
          </cell>
          <cell r="E600">
            <v>36089</v>
          </cell>
          <cell r="F600">
            <v>180000</v>
          </cell>
          <cell r="G600">
            <v>180</v>
          </cell>
          <cell r="H600">
            <v>7.7399999999999997E-2</v>
          </cell>
        </row>
        <row r="601">
          <cell r="A601" t="str">
            <v>Austin Community  - L.Leatherwood</v>
          </cell>
          <cell r="B601" t="str">
            <v>G. Texas Equity Loan</v>
          </cell>
          <cell r="C601">
            <v>61260293</v>
          </cell>
          <cell r="D601" t="str">
            <v>ACT</v>
          </cell>
          <cell r="E601">
            <v>36047</v>
          </cell>
          <cell r="F601">
            <v>200000</v>
          </cell>
          <cell r="G601">
            <v>180</v>
          </cell>
          <cell r="H601">
            <v>7.9899999999999999E-2</v>
          </cell>
        </row>
        <row r="602">
          <cell r="A602" t="str">
            <v>Austin Community  - L.Leatherwood</v>
          </cell>
          <cell r="B602" t="str">
            <v>G. Texas Equity Loan</v>
          </cell>
          <cell r="C602">
            <v>61265260</v>
          </cell>
          <cell r="D602" t="str">
            <v>ACT</v>
          </cell>
          <cell r="E602">
            <v>36060</v>
          </cell>
          <cell r="F602">
            <v>225000</v>
          </cell>
          <cell r="G602">
            <v>120</v>
          </cell>
          <cell r="H602">
            <v>7.9899999999999999E-2</v>
          </cell>
        </row>
        <row r="603">
          <cell r="A603" t="str">
            <v>AL/FL/TX Metro - J.Barri</v>
          </cell>
          <cell r="B603" t="str">
            <v>G. Texas Equity Loan</v>
          </cell>
          <cell r="C603">
            <v>61312013</v>
          </cell>
          <cell r="D603" t="str">
            <v>NEW</v>
          </cell>
          <cell r="E603">
            <v>36104</v>
          </cell>
          <cell r="F603">
            <v>250000</v>
          </cell>
          <cell r="G603">
            <v>120</v>
          </cell>
          <cell r="H603">
            <v>7.2499999999999995E-2</v>
          </cell>
        </row>
        <row r="604">
          <cell r="A604" t="str">
            <v>AL/FL/TX Metro - J.Barri</v>
          </cell>
          <cell r="B604" t="str">
            <v>G. Texas Equity Loan</v>
          </cell>
          <cell r="C604">
            <v>61259902</v>
          </cell>
          <cell r="D604" t="str">
            <v>ACT</v>
          </cell>
          <cell r="E604">
            <v>36055</v>
          </cell>
          <cell r="F604">
            <v>280000</v>
          </cell>
          <cell r="G604">
            <v>180</v>
          </cell>
          <cell r="H604">
            <v>7.7399999999999997E-2</v>
          </cell>
        </row>
        <row r="605">
          <cell r="A605" t="str">
            <v>AL/FL/TX Metro - J.Barri</v>
          </cell>
          <cell r="B605" t="str">
            <v>G. Texas Equity Loan</v>
          </cell>
          <cell r="C605">
            <v>61268669</v>
          </cell>
          <cell r="D605" t="str">
            <v>ACT</v>
          </cell>
          <cell r="E605">
            <v>36087</v>
          </cell>
          <cell r="F605">
            <v>280000</v>
          </cell>
          <cell r="G605">
            <v>120</v>
          </cell>
          <cell r="H605">
            <v>7.7399999999999997E-2</v>
          </cell>
        </row>
        <row r="606">
          <cell r="A606" t="str">
            <v>AL/FL/TX Metro - J.Barri</v>
          </cell>
          <cell r="B606" t="str">
            <v>G. Texas Equity Loan</v>
          </cell>
          <cell r="C606">
            <v>61268685</v>
          </cell>
          <cell r="D606" t="str">
            <v>NEW</v>
          </cell>
          <cell r="E606">
            <v>36087</v>
          </cell>
          <cell r="F606">
            <v>332700</v>
          </cell>
          <cell r="G606">
            <v>180</v>
          </cell>
          <cell r="H606">
            <v>7.7399999999999997E-2</v>
          </cell>
        </row>
        <row r="607">
          <cell r="A607" t="str">
            <v>AL/FL/TX Metro - J.Barri</v>
          </cell>
          <cell r="B607" t="str">
            <v>G. Texas Equity Loan</v>
          </cell>
          <cell r="C607">
            <v>61267506</v>
          </cell>
          <cell r="D607" t="str">
            <v>ACT</v>
          </cell>
          <cell r="E607">
            <v>36083</v>
          </cell>
          <cell r="F607">
            <v>400000</v>
          </cell>
          <cell r="G607">
            <v>180</v>
          </cell>
          <cell r="H607">
            <v>7.7399999999999997E-2</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ing Month Input Page"/>
      <sheetName val="Splash"/>
      <sheetName val="Input"/>
      <sheetName val="Sheet1"/>
      <sheetName val="Sheet1 (2)"/>
      <sheetName val="Sheet2"/>
      <sheetName val="Sheet3"/>
      <sheetName val="Splash-Compass Bank"/>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Roling Month Input Page"/>
      <sheetName val="PL_TREND"/>
      <sheetName val="BASE"/>
    </sheetNames>
    <sheetDataSet>
      <sheetData sheetId="0" refreshError="1">
        <row r="1">
          <cell r="A1" t="str">
            <v>account</v>
          </cell>
          <cell r="B1" t="str">
            <v>level</v>
          </cell>
          <cell r="C1" t="str">
            <v>description</v>
          </cell>
          <cell r="D1" t="str">
            <v>mactavg_01011998</v>
          </cell>
          <cell r="E1" t="str">
            <v>mactavg_02011998</v>
          </cell>
          <cell r="F1" t="str">
            <v>mactavg_03011998</v>
          </cell>
          <cell r="G1" t="str">
            <v>mactavg_04011998</v>
          </cell>
          <cell r="H1" t="str">
            <v>mactavg_05011998</v>
          </cell>
          <cell r="I1" t="str">
            <v>mactavg_06011998</v>
          </cell>
          <cell r="J1" t="str">
            <v>mactavg_07011998</v>
          </cell>
          <cell r="K1" t="str">
            <v>mactavg_08011998</v>
          </cell>
          <cell r="L1" t="str">
            <v>mactavg_09011998</v>
          </cell>
          <cell r="M1" t="str">
            <v>mactavg_10011998</v>
          </cell>
          <cell r="N1" t="str">
            <v>mactavg_11011998</v>
          </cell>
          <cell r="O1" t="str">
            <v>mactavg_12011998</v>
          </cell>
          <cell r="P1" t="str">
            <v>yactavg_12011998</v>
          </cell>
          <cell r="Q1" t="str">
            <v>compute_0037</v>
          </cell>
        </row>
        <row r="2">
          <cell r="A2" t="str">
            <v>TOTSAL</v>
          </cell>
          <cell r="B2" t="str">
            <v>0</v>
          </cell>
          <cell r="C2" t="str">
            <v xml:space="preserve">Salaries &amp; Wages                        </v>
          </cell>
          <cell r="D2">
            <v>62651.312440000002</v>
          </cell>
          <cell r="E2">
            <v>63340.965759999999</v>
          </cell>
          <cell r="F2">
            <v>63963.804230000002</v>
          </cell>
          <cell r="G2">
            <v>64123.226049999997</v>
          </cell>
          <cell r="H2">
            <v>64706.511879999998</v>
          </cell>
          <cell r="I2">
            <v>65084.25303</v>
          </cell>
          <cell r="J2">
            <v>66800.383130000002</v>
          </cell>
          <cell r="K2">
            <v>67746.180940000006</v>
          </cell>
          <cell r="L2">
            <v>71129.58</v>
          </cell>
          <cell r="M2">
            <v>70515.820000000007</v>
          </cell>
          <cell r="N2">
            <v>67239.11</v>
          </cell>
          <cell r="O2">
            <v>65426.23</v>
          </cell>
          <cell r="P2">
            <v>792727.37745999999</v>
          </cell>
          <cell r="Q2" t="str">
            <v xml:space="preserve"> </v>
          </cell>
        </row>
        <row r="3">
          <cell r="A3" t="str">
            <v>601000A</v>
          </cell>
          <cell r="B3" t="str">
            <v>3</v>
          </cell>
          <cell r="C3" t="str">
            <v xml:space="preserve">    Overtime Salaries                   </v>
          </cell>
          <cell r="D3">
            <v>1627.7689</v>
          </cell>
          <cell r="E3">
            <v>1834.2134599999999</v>
          </cell>
          <cell r="F3">
            <v>1957.7189100000001</v>
          </cell>
          <cell r="G3">
            <v>1503.97687</v>
          </cell>
          <cell r="H3">
            <v>1559.9657500000001</v>
          </cell>
          <cell r="I3">
            <v>1869.9984400000001</v>
          </cell>
          <cell r="J3">
            <v>1675.0782999999999</v>
          </cell>
          <cell r="K3">
            <v>1741.3806199999999</v>
          </cell>
          <cell r="L3">
            <v>967.48</v>
          </cell>
          <cell r="M3">
            <v>897.51</v>
          </cell>
          <cell r="N3">
            <v>873.17</v>
          </cell>
          <cell r="O3">
            <v>873.66</v>
          </cell>
          <cell r="P3">
            <v>17381.921249999999</v>
          </cell>
          <cell r="Q3" t="str">
            <v xml:space="preserve"> </v>
          </cell>
        </row>
        <row r="4">
          <cell r="A4" t="str">
            <v>602000A</v>
          </cell>
          <cell r="B4" t="str">
            <v>3</v>
          </cell>
          <cell r="C4" t="str">
            <v xml:space="preserve">    Contract Temporary                  </v>
          </cell>
          <cell r="D4">
            <v>4020.33284</v>
          </cell>
          <cell r="E4">
            <v>5080.3092900000001</v>
          </cell>
          <cell r="F4">
            <v>7779.5403299999998</v>
          </cell>
          <cell r="G4">
            <v>6544.0264200000001</v>
          </cell>
          <cell r="H4">
            <v>6454.2392</v>
          </cell>
          <cell r="I4">
            <v>7298.9430599999996</v>
          </cell>
          <cell r="J4">
            <v>8303.8843799999995</v>
          </cell>
          <cell r="K4">
            <v>7233.7119199999997</v>
          </cell>
          <cell r="L4">
            <v>4422.84</v>
          </cell>
          <cell r="M4">
            <v>3895.9</v>
          </cell>
          <cell r="N4">
            <v>3514.71</v>
          </cell>
          <cell r="O4">
            <v>2836.99</v>
          </cell>
          <cell r="P4">
            <v>67385.427439999999</v>
          </cell>
          <cell r="Q4" t="str">
            <v xml:space="preserve"> </v>
          </cell>
        </row>
        <row r="5">
          <cell r="A5" t="str">
            <v>600250</v>
          </cell>
          <cell r="B5" t="str">
            <v>2</v>
          </cell>
          <cell r="C5" t="str">
            <v xml:space="preserve">  Personnel                             </v>
          </cell>
          <cell r="D5">
            <v>80625.757949999999</v>
          </cell>
          <cell r="E5">
            <v>82379.682339999999</v>
          </cell>
          <cell r="F5">
            <v>86123.398700000005</v>
          </cell>
          <cell r="G5">
            <v>85127.751149999996</v>
          </cell>
          <cell r="H5">
            <v>86806.190059999994</v>
          </cell>
          <cell r="I5">
            <v>86979.670710000006</v>
          </cell>
          <cell r="J5">
            <v>89850.790819999995</v>
          </cell>
          <cell r="K5">
            <v>90191.706420000002</v>
          </cell>
          <cell r="L5">
            <v>90229.823799999998</v>
          </cell>
          <cell r="M5">
            <v>88871.893899999995</v>
          </cell>
          <cell r="N5">
            <v>84703.740399999995</v>
          </cell>
          <cell r="O5">
            <v>81782.805800000002</v>
          </cell>
          <cell r="P5">
            <v>1033673.21205</v>
          </cell>
          <cell r="Q5" t="str">
            <v xml:space="preserve"> </v>
          </cell>
        </row>
        <row r="6">
          <cell r="A6" t="str">
            <v>610000</v>
          </cell>
          <cell r="B6" t="str">
            <v>2</v>
          </cell>
          <cell r="C6" t="str">
            <v xml:space="preserve">  Net Occupancy                         </v>
          </cell>
          <cell r="D6">
            <v>12091.96221</v>
          </cell>
          <cell r="E6">
            <v>12028.595929999999</v>
          </cell>
          <cell r="F6">
            <v>12226.72373</v>
          </cell>
          <cell r="G6">
            <v>12094.86414</v>
          </cell>
          <cell r="H6">
            <v>12845.006160000001</v>
          </cell>
          <cell r="I6">
            <v>13702.623170000001</v>
          </cell>
          <cell r="J6">
            <v>13322.712810000001</v>
          </cell>
          <cell r="K6">
            <v>13827.4702</v>
          </cell>
          <cell r="L6">
            <v>13849.57</v>
          </cell>
          <cell r="M6">
            <v>15463.683000000001</v>
          </cell>
          <cell r="N6">
            <v>15391.379000000001</v>
          </cell>
          <cell r="O6">
            <v>15096.147999999999</v>
          </cell>
          <cell r="P6">
            <v>161940.73835</v>
          </cell>
          <cell r="Q6" t="str">
            <v xml:space="preserve"> </v>
          </cell>
        </row>
        <row r="7">
          <cell r="A7" t="str">
            <v>620000</v>
          </cell>
          <cell r="B7" t="str">
            <v>2</v>
          </cell>
          <cell r="C7" t="str">
            <v xml:space="preserve">  Furniture &amp; Equipment                 </v>
          </cell>
          <cell r="D7">
            <v>34525.909619999999</v>
          </cell>
          <cell r="E7">
            <v>39488.391799999998</v>
          </cell>
          <cell r="F7">
            <v>38839.599820000003</v>
          </cell>
          <cell r="G7">
            <v>35756.385909999997</v>
          </cell>
          <cell r="H7">
            <v>38388.889900000002</v>
          </cell>
          <cell r="I7">
            <v>39700.706160000002</v>
          </cell>
          <cell r="J7">
            <v>41177.648829999998</v>
          </cell>
          <cell r="K7">
            <v>41929.338779999998</v>
          </cell>
          <cell r="L7">
            <v>43440.194000000003</v>
          </cell>
          <cell r="M7">
            <v>43772.178</v>
          </cell>
          <cell r="N7">
            <v>42786.031000000003</v>
          </cell>
          <cell r="O7">
            <v>44140.38</v>
          </cell>
          <cell r="P7">
            <v>483945.65382000001</v>
          </cell>
          <cell r="Q7" t="str">
            <v xml:space="preserve"> </v>
          </cell>
        </row>
        <row r="8">
          <cell r="A8" t="str">
            <v>623000</v>
          </cell>
          <cell r="B8" t="str">
            <v>2</v>
          </cell>
          <cell r="C8" t="str">
            <v xml:space="preserve">  Marketing &amp; Promotional               </v>
          </cell>
          <cell r="D8">
            <v>244.68047000000001</v>
          </cell>
          <cell r="E8">
            <v>304.43779000000001</v>
          </cell>
          <cell r="F8">
            <v>827.22334000000001</v>
          </cell>
          <cell r="G8">
            <v>476.84998999999999</v>
          </cell>
          <cell r="H8">
            <v>427.45866999999998</v>
          </cell>
          <cell r="I8">
            <v>170.82165000000001</v>
          </cell>
          <cell r="J8">
            <v>1161.70912</v>
          </cell>
          <cell r="K8">
            <v>105.75218</v>
          </cell>
          <cell r="L8">
            <v>499.20400000000001</v>
          </cell>
          <cell r="M8">
            <v>499.488</v>
          </cell>
          <cell r="N8">
            <v>487.92899999999997</v>
          </cell>
          <cell r="O8">
            <v>498.99299999999999</v>
          </cell>
          <cell r="P8">
            <v>5704.5472099999997</v>
          </cell>
          <cell r="Q8" t="str">
            <v xml:space="preserve"> </v>
          </cell>
        </row>
        <row r="9">
          <cell r="A9" t="str">
            <v>630000</v>
          </cell>
          <cell r="B9" t="str">
            <v>2</v>
          </cell>
          <cell r="C9" t="str">
            <v xml:space="preserve">  Professional Fees                     </v>
          </cell>
          <cell r="D9">
            <v>11969.97438</v>
          </cell>
          <cell r="E9">
            <v>23285.356299999999</v>
          </cell>
          <cell r="F9">
            <v>13094.222100000001</v>
          </cell>
          <cell r="G9">
            <v>17659.55357</v>
          </cell>
          <cell r="H9">
            <v>20505.52709</v>
          </cell>
          <cell r="I9">
            <v>12495.435729999999</v>
          </cell>
          <cell r="J9">
            <v>15858.26526</v>
          </cell>
          <cell r="K9">
            <v>12261.62364</v>
          </cell>
          <cell r="L9">
            <v>14683.897999999999</v>
          </cell>
          <cell r="M9">
            <v>12407.405000000001</v>
          </cell>
          <cell r="N9">
            <v>8035.8040000000001</v>
          </cell>
          <cell r="O9">
            <v>7629.9679999999998</v>
          </cell>
          <cell r="P9">
            <v>169887.03307</v>
          </cell>
          <cell r="Q9" t="str">
            <v xml:space="preserve"> </v>
          </cell>
        </row>
        <row r="10">
          <cell r="A10" t="str">
            <v>650200</v>
          </cell>
          <cell r="B10" t="str">
            <v>2</v>
          </cell>
          <cell r="C10" t="str">
            <v xml:space="preserve">  Credit Card Expense                   </v>
          </cell>
          <cell r="D10">
            <v>1.99569</v>
          </cell>
          <cell r="E10">
            <v>-1.3392500000000001</v>
          </cell>
          <cell r="F10">
            <v>-19.959679999999999</v>
          </cell>
          <cell r="G10">
            <v>4.7545999999999999</v>
          </cell>
          <cell r="H10">
            <v>582.64604999999995</v>
          </cell>
          <cell r="I10">
            <v>18.892060000000001</v>
          </cell>
          <cell r="J10">
            <v>-0.55783000000000005</v>
          </cell>
          <cell r="K10">
            <v>2.8739400000000002</v>
          </cell>
          <cell r="L10">
            <v>0</v>
          </cell>
          <cell r="M10">
            <v>0</v>
          </cell>
          <cell r="N10">
            <v>0</v>
          </cell>
          <cell r="O10">
            <v>0</v>
          </cell>
          <cell r="P10">
            <v>589.30557999999996</v>
          </cell>
          <cell r="Q10" t="str">
            <v xml:space="preserve"> </v>
          </cell>
        </row>
        <row r="11">
          <cell r="A11" t="str">
            <v>651500A</v>
          </cell>
          <cell r="B11" t="str">
            <v>2</v>
          </cell>
          <cell r="C11" t="str">
            <v xml:space="preserve">  Direct Processing Expense             </v>
          </cell>
          <cell r="D11">
            <v>20350.230100000001</v>
          </cell>
          <cell r="E11">
            <v>20897.49367</v>
          </cell>
          <cell r="F11">
            <v>24727.851309999998</v>
          </cell>
          <cell r="G11">
            <v>24678.93547</v>
          </cell>
          <cell r="H11">
            <v>21705.16848</v>
          </cell>
          <cell r="I11">
            <v>19960.876059999999</v>
          </cell>
          <cell r="J11">
            <v>24267.34432</v>
          </cell>
          <cell r="K11">
            <v>20356.318050000002</v>
          </cell>
          <cell r="L11">
            <v>26660.78</v>
          </cell>
          <cell r="M11">
            <v>22634.59</v>
          </cell>
          <cell r="N11">
            <v>20757.703000000001</v>
          </cell>
          <cell r="O11">
            <v>24865.507000000001</v>
          </cell>
          <cell r="P11">
            <v>271862.79745999997</v>
          </cell>
          <cell r="Q11" t="str">
            <v xml:space="preserve"> </v>
          </cell>
        </row>
        <row r="12">
          <cell r="A12" t="str">
            <v>653499A</v>
          </cell>
          <cell r="B12" t="str">
            <v>2</v>
          </cell>
          <cell r="C12" t="str">
            <v xml:space="preserve">  Programming Svc Chargeouts I/C        </v>
          </cell>
          <cell r="D12">
            <v>21053.902310000001</v>
          </cell>
          <cell r="E12">
            <v>22063.291410000002</v>
          </cell>
          <cell r="F12">
            <v>22709.888640000001</v>
          </cell>
          <cell r="G12">
            <v>21660.916000000001</v>
          </cell>
          <cell r="H12">
            <v>29845.196970000001</v>
          </cell>
          <cell r="I12">
            <v>25005.22709</v>
          </cell>
          <cell r="J12">
            <v>25587.881600000001</v>
          </cell>
          <cell r="K12">
            <v>31305.745999999999</v>
          </cell>
          <cell r="L12">
            <v>24304.008000000002</v>
          </cell>
          <cell r="M12">
            <v>23055.993999999999</v>
          </cell>
          <cell r="N12">
            <v>22181.01</v>
          </cell>
          <cell r="O12">
            <v>22832.612000000001</v>
          </cell>
          <cell r="P12">
            <v>291605.67401999998</v>
          </cell>
          <cell r="Q12" t="str">
            <v xml:space="preserve"> </v>
          </cell>
        </row>
        <row r="13">
          <cell r="A13" t="str">
            <v>653499P</v>
          </cell>
          <cell r="B13" t="str">
            <v>2</v>
          </cell>
          <cell r="C13" t="str">
            <v xml:space="preserve">  Project Svc Chargeouts I/C            </v>
          </cell>
          <cell r="D13">
            <v>10084.454</v>
          </cell>
          <cell r="E13">
            <v>10860.225</v>
          </cell>
          <cell r="F13">
            <v>18001.632450000001</v>
          </cell>
          <cell r="G13">
            <v>16235.063</v>
          </cell>
          <cell r="H13">
            <v>13987.628000000001</v>
          </cell>
          <cell r="I13">
            <v>20970.7</v>
          </cell>
          <cell r="J13">
            <v>16911.052</v>
          </cell>
          <cell r="K13">
            <v>16450.258000000002</v>
          </cell>
          <cell r="L13">
            <v>14939.93</v>
          </cell>
          <cell r="M13">
            <v>14861.22</v>
          </cell>
          <cell r="N13">
            <v>13740.67</v>
          </cell>
          <cell r="O13">
            <v>12673.98</v>
          </cell>
          <cell r="P13">
            <v>179716.81245</v>
          </cell>
          <cell r="Q13" t="str">
            <v xml:space="preserve"> </v>
          </cell>
        </row>
        <row r="14">
          <cell r="A14" t="str">
            <v>660025A</v>
          </cell>
          <cell r="B14" t="str">
            <v>3</v>
          </cell>
          <cell r="C14" t="str">
            <v xml:space="preserve">    Telecommunications - Direct         </v>
          </cell>
          <cell r="D14">
            <v>18327.090489999999</v>
          </cell>
          <cell r="E14">
            <v>17105.605729999999</v>
          </cell>
          <cell r="F14">
            <v>20299.330020000001</v>
          </cell>
          <cell r="G14">
            <v>19449.695</v>
          </cell>
          <cell r="H14">
            <v>21792.430390000001</v>
          </cell>
          <cell r="I14">
            <v>24249.099099999999</v>
          </cell>
          <cell r="J14">
            <v>26680.236789999999</v>
          </cell>
          <cell r="K14">
            <v>24246.49482</v>
          </cell>
          <cell r="L14">
            <v>19897.900000000001</v>
          </cell>
          <cell r="M14">
            <v>20724.580000000002</v>
          </cell>
          <cell r="N14">
            <v>19900.580000000002</v>
          </cell>
          <cell r="O14">
            <v>20104.13</v>
          </cell>
          <cell r="P14">
            <v>252777.17233999999</v>
          </cell>
          <cell r="Q14" t="str">
            <v xml:space="preserve"> </v>
          </cell>
        </row>
        <row r="15">
          <cell r="A15" t="str">
            <v>660705A</v>
          </cell>
          <cell r="B15" t="str">
            <v>3</v>
          </cell>
          <cell r="C15" t="str">
            <v xml:space="preserve">    Telecomm Chargeouts I/C             </v>
          </cell>
          <cell r="D15">
            <v>7768.8789999999999</v>
          </cell>
          <cell r="E15">
            <v>8362.5823500000006</v>
          </cell>
          <cell r="F15">
            <v>8724.1085000000003</v>
          </cell>
          <cell r="G15">
            <v>9880.4330000000009</v>
          </cell>
          <cell r="H15">
            <v>10945.152</v>
          </cell>
          <cell r="I15">
            <v>12321.8158</v>
          </cell>
          <cell r="J15">
            <v>10943.620999999999</v>
          </cell>
          <cell r="K15">
            <v>11122.15472</v>
          </cell>
          <cell r="L15">
            <v>8892.19</v>
          </cell>
          <cell r="M15">
            <v>8883.9599999999991</v>
          </cell>
          <cell r="N15">
            <v>8868.36</v>
          </cell>
          <cell r="O15">
            <v>8859.91</v>
          </cell>
          <cell r="P15">
            <v>115573.16637000001</v>
          </cell>
          <cell r="Q15" t="str">
            <v xml:space="preserve"> </v>
          </cell>
        </row>
        <row r="16">
          <cell r="A16" t="str">
            <v>663000A</v>
          </cell>
          <cell r="B16" t="str">
            <v>2</v>
          </cell>
          <cell r="C16" t="str">
            <v xml:space="preserve">  Supplies                              </v>
          </cell>
          <cell r="D16">
            <v>4021.7507599999999</v>
          </cell>
          <cell r="E16">
            <v>3889.9312199999999</v>
          </cell>
          <cell r="F16">
            <v>4962.6338500000002</v>
          </cell>
          <cell r="G16">
            <v>4434.3204699999997</v>
          </cell>
          <cell r="H16">
            <v>4923.4832699999997</v>
          </cell>
          <cell r="I16">
            <v>5887.9519</v>
          </cell>
          <cell r="J16">
            <v>5889.8054300000003</v>
          </cell>
          <cell r="K16">
            <v>5331.7352799999999</v>
          </cell>
          <cell r="L16">
            <v>5308.6329999999998</v>
          </cell>
          <cell r="M16">
            <v>8749.8850000000002</v>
          </cell>
          <cell r="N16">
            <v>5217.1379999999999</v>
          </cell>
          <cell r="O16">
            <v>4574.4269999999997</v>
          </cell>
          <cell r="P16">
            <v>63191.695180000002</v>
          </cell>
          <cell r="Q16" t="str">
            <v xml:space="preserve"> </v>
          </cell>
        </row>
        <row r="17">
          <cell r="A17" t="str">
            <v>664500A</v>
          </cell>
          <cell r="B17" t="str">
            <v>2</v>
          </cell>
          <cell r="C17" t="str">
            <v xml:space="preserve">  Postage                               </v>
          </cell>
          <cell r="D17">
            <v>5283.8721800000003</v>
          </cell>
          <cell r="E17">
            <v>5386.2513799999997</v>
          </cell>
          <cell r="F17">
            <v>5306.8954700000004</v>
          </cell>
          <cell r="G17">
            <v>5034.3514100000002</v>
          </cell>
          <cell r="H17">
            <v>6432.9408599999997</v>
          </cell>
          <cell r="I17">
            <v>3157.3933499999998</v>
          </cell>
          <cell r="J17">
            <v>5300.4220599999999</v>
          </cell>
          <cell r="K17">
            <v>4281.8132800000003</v>
          </cell>
          <cell r="L17">
            <v>4651.9449999999997</v>
          </cell>
          <cell r="M17">
            <v>4799.1080000000002</v>
          </cell>
          <cell r="N17">
            <v>4565.7860000000001</v>
          </cell>
          <cell r="O17">
            <v>4596.634</v>
          </cell>
          <cell r="P17">
            <v>58797.412989999997</v>
          </cell>
          <cell r="Q17" t="str">
            <v xml:space="preserve"> </v>
          </cell>
        </row>
        <row r="18">
          <cell r="A18" t="str">
            <v>665499A</v>
          </cell>
          <cell r="B18" t="str">
            <v>2</v>
          </cell>
          <cell r="C18" t="str">
            <v xml:space="preserve">  All Other General Operating           </v>
          </cell>
          <cell r="D18">
            <v>5439.8814300000004</v>
          </cell>
          <cell r="E18">
            <v>1327.4064000000001</v>
          </cell>
          <cell r="F18">
            <v>-3388.5400199999999</v>
          </cell>
          <cell r="G18">
            <v>2797.4695400000001</v>
          </cell>
          <cell r="H18">
            <v>-494.99104</v>
          </cell>
          <cell r="I18">
            <v>5374.1907899999997</v>
          </cell>
          <cell r="J18">
            <v>3288.9148500000001</v>
          </cell>
          <cell r="K18">
            <v>1191.0478700000001</v>
          </cell>
          <cell r="L18">
            <v>1934.1289999999999</v>
          </cell>
          <cell r="M18">
            <v>-969.24599999999998</v>
          </cell>
          <cell r="N18">
            <v>1658.298</v>
          </cell>
          <cell r="O18">
            <v>2810.7669999999998</v>
          </cell>
          <cell r="P18">
            <v>20969.327819999999</v>
          </cell>
          <cell r="Q18" t="str">
            <v xml:space="preserve"> </v>
          </cell>
        </row>
        <row r="19">
          <cell r="A19" t="str">
            <v>670200A</v>
          </cell>
          <cell r="B19" t="str">
            <v>3</v>
          </cell>
          <cell r="C19" t="str">
            <v xml:space="preserve">    Travel                              </v>
          </cell>
          <cell r="D19">
            <v>2674.1425599999998</v>
          </cell>
          <cell r="E19">
            <v>3298.1660200000001</v>
          </cell>
          <cell r="F19">
            <v>5457.2899600000001</v>
          </cell>
          <cell r="G19">
            <v>4994.1097399999999</v>
          </cell>
          <cell r="H19">
            <v>4993.2554700000001</v>
          </cell>
          <cell r="I19">
            <v>5031.5182500000001</v>
          </cell>
          <cell r="J19">
            <v>6837.2512200000001</v>
          </cell>
          <cell r="K19">
            <v>6361.9063100000003</v>
          </cell>
          <cell r="L19">
            <v>3375.7240000000002</v>
          </cell>
          <cell r="M19">
            <v>3838.828</v>
          </cell>
          <cell r="N19">
            <v>3015.7539999999999</v>
          </cell>
          <cell r="O19">
            <v>2076.5509999999999</v>
          </cell>
          <cell r="P19">
            <v>51954.496529999997</v>
          </cell>
          <cell r="Q19" t="str">
            <v xml:space="preserve"> </v>
          </cell>
        </row>
        <row r="20">
          <cell r="A20" t="str">
            <v>670000</v>
          </cell>
          <cell r="B20" t="str">
            <v>2</v>
          </cell>
          <cell r="C20" t="str">
            <v xml:space="preserve">  General Administrative                </v>
          </cell>
          <cell r="D20">
            <v>2988.2932900000001</v>
          </cell>
          <cell r="E20">
            <v>3879.7296799999999</v>
          </cell>
          <cell r="F20">
            <v>6412.6276799999996</v>
          </cell>
          <cell r="G20">
            <v>5541.1981599999999</v>
          </cell>
          <cell r="H20">
            <v>5183.1588000000002</v>
          </cell>
          <cell r="I20">
            <v>5371.7409299999999</v>
          </cell>
          <cell r="J20">
            <v>7237.7485500000003</v>
          </cell>
          <cell r="K20">
            <v>6659.9158399999997</v>
          </cell>
          <cell r="L20">
            <v>3964.9229999999998</v>
          </cell>
          <cell r="M20">
            <v>4480.4089999999997</v>
          </cell>
          <cell r="N20">
            <v>3603.549</v>
          </cell>
          <cell r="O20">
            <v>2634.7829999999999</v>
          </cell>
          <cell r="P20">
            <v>57958.076930000003</v>
          </cell>
          <cell r="Q20" t="str">
            <v xml:space="preserve"> </v>
          </cell>
        </row>
        <row r="21">
          <cell r="A21" t="str">
            <v>675000</v>
          </cell>
          <cell r="B21" t="str">
            <v>2</v>
          </cell>
          <cell r="C21" t="str">
            <v xml:space="preserve">  Intercompany Expense                  </v>
          </cell>
          <cell r="D21">
            <v>632.24508000000003</v>
          </cell>
          <cell r="E21">
            <v>625.07723999999996</v>
          </cell>
          <cell r="F21">
            <v>627.64099999999996</v>
          </cell>
          <cell r="G21">
            <v>740.51418000000001</v>
          </cell>
          <cell r="H21">
            <v>287.47289999999998</v>
          </cell>
          <cell r="I21">
            <v>990.30006000000003</v>
          </cell>
          <cell r="J21">
            <v>348.07100000000003</v>
          </cell>
          <cell r="K21">
            <v>930.178</v>
          </cell>
          <cell r="L21">
            <v>798.71299999999997</v>
          </cell>
          <cell r="M21">
            <v>783.96799999999996</v>
          </cell>
          <cell r="N21">
            <v>785.96799999999996</v>
          </cell>
          <cell r="O21">
            <v>782.96799999999996</v>
          </cell>
          <cell r="P21">
            <v>8333.1164599999993</v>
          </cell>
          <cell r="Q21" t="str">
            <v xml:space="preserve"> </v>
          </cell>
        </row>
        <row r="22">
          <cell r="A22" t="str">
            <v>DIREXP-SC</v>
          </cell>
          <cell r="B22" t="str">
            <v>0</v>
          </cell>
          <cell r="C22" t="str">
            <v xml:space="preserve">Total Direct Expense                    </v>
          </cell>
          <cell r="D22">
            <v>235410.87896</v>
          </cell>
          <cell r="E22">
            <v>251882.71898999999</v>
          </cell>
          <cell r="F22">
            <v>259475.27690999999</v>
          </cell>
          <cell r="G22">
            <v>261573.05559</v>
          </cell>
          <cell r="H22">
            <v>274163.35856000002</v>
          </cell>
          <cell r="I22">
            <v>276357.44455999997</v>
          </cell>
          <cell r="J22">
            <v>287825.66661000001</v>
          </cell>
          <cell r="K22">
            <v>280194.42702</v>
          </cell>
          <cell r="L22">
            <v>274055.84080000001</v>
          </cell>
          <cell r="M22">
            <v>269019.11589999998</v>
          </cell>
          <cell r="N22">
            <v>252683.9454</v>
          </cell>
          <cell r="O22">
            <v>253884.0128</v>
          </cell>
          <cell r="P22">
            <v>3176525.7420999999</v>
          </cell>
          <cell r="Q22" t="str">
            <v xml:space="preserve"> </v>
          </cell>
        </row>
        <row r="23">
          <cell r="A23" t="str">
            <v>700001A</v>
          </cell>
          <cell r="B23" t="str">
            <v>3</v>
          </cell>
          <cell r="C23" t="str">
            <v xml:space="preserve">    Furniture &amp; Equipment Recoveries    </v>
          </cell>
          <cell r="D23">
            <v>-1894.7059999999999</v>
          </cell>
          <cell r="E23">
            <v>-1892.5309999999999</v>
          </cell>
          <cell r="F23">
            <v>-1913.731</v>
          </cell>
          <cell r="G23">
            <v>-1903.8309999999999</v>
          </cell>
          <cell r="H23">
            <v>-1902.365</v>
          </cell>
          <cell r="I23">
            <v>-1902.365</v>
          </cell>
          <cell r="J23">
            <v>-1902.0709999999999</v>
          </cell>
          <cell r="K23">
            <v>-1903.24</v>
          </cell>
          <cell r="L23">
            <v>-1867.98</v>
          </cell>
          <cell r="M23">
            <v>-1867.98</v>
          </cell>
          <cell r="N23">
            <v>-1867.98</v>
          </cell>
          <cell r="O23">
            <v>-1867.99</v>
          </cell>
          <cell r="P23">
            <v>-22686.77</v>
          </cell>
          <cell r="Q23" t="str">
            <v xml:space="preserve"> </v>
          </cell>
        </row>
        <row r="24">
          <cell r="A24" t="str">
            <v>700010A</v>
          </cell>
          <cell r="B24" t="str">
            <v>3</v>
          </cell>
          <cell r="C24" t="str">
            <v xml:space="preserve">    Telecomm Recoveries                 </v>
          </cell>
          <cell r="D24">
            <v>-25879.327000000001</v>
          </cell>
          <cell r="E24">
            <v>-26697.254000000001</v>
          </cell>
          <cell r="F24">
            <v>-28111.542000000001</v>
          </cell>
          <cell r="G24">
            <v>-30775.934000000001</v>
          </cell>
          <cell r="H24">
            <v>-36418.084000000003</v>
          </cell>
          <cell r="I24">
            <v>-35875.061800000003</v>
          </cell>
          <cell r="J24">
            <v>-35911.947</v>
          </cell>
          <cell r="K24">
            <v>-35597.29</v>
          </cell>
          <cell r="L24">
            <v>-32203.31</v>
          </cell>
          <cell r="M24">
            <v>-32512.44</v>
          </cell>
          <cell r="N24">
            <v>-32432.05</v>
          </cell>
          <cell r="O24">
            <v>-32671.759999999998</v>
          </cell>
          <cell r="P24">
            <v>-385085.99979999999</v>
          </cell>
          <cell r="Q24" t="str">
            <v xml:space="preserve"> </v>
          </cell>
        </row>
        <row r="25">
          <cell r="A25" t="str">
            <v>700012A</v>
          </cell>
          <cell r="B25" t="str">
            <v>3</v>
          </cell>
          <cell r="C25" t="str">
            <v xml:space="preserve">    Programming Services Recoveries     </v>
          </cell>
          <cell r="D25">
            <v>-24235.87831</v>
          </cell>
          <cell r="E25">
            <v>-24741.91735</v>
          </cell>
          <cell r="F25">
            <v>-25469.965639999999</v>
          </cell>
          <cell r="G25">
            <v>-24523.84</v>
          </cell>
          <cell r="H25">
            <v>-37330.7765</v>
          </cell>
          <cell r="I25">
            <v>-29645.556499999999</v>
          </cell>
          <cell r="J25">
            <v>-28177.951000000001</v>
          </cell>
          <cell r="K25">
            <v>-39889.311000000002</v>
          </cell>
          <cell r="L25">
            <v>-30459.39</v>
          </cell>
          <cell r="M25">
            <v>-29373.63</v>
          </cell>
          <cell r="N25">
            <v>-27875.23</v>
          </cell>
          <cell r="O25">
            <v>-28351.47</v>
          </cell>
          <cell r="P25">
            <v>-350074.91629999998</v>
          </cell>
          <cell r="Q25" t="str">
            <v xml:space="preserve"> </v>
          </cell>
        </row>
        <row r="26">
          <cell r="A26" t="str">
            <v>700012G</v>
          </cell>
          <cell r="B26" t="str">
            <v>3</v>
          </cell>
          <cell r="C26" t="str">
            <v xml:space="preserve">    Project Services Recoveries         </v>
          </cell>
          <cell r="D26">
            <v>-38539.18</v>
          </cell>
          <cell r="E26">
            <v>-47250.008000000002</v>
          </cell>
          <cell r="F26">
            <v>-49881.841679999998</v>
          </cell>
          <cell r="G26">
            <v>-59111.692000000003</v>
          </cell>
          <cell r="H26">
            <v>-55771.555610000003</v>
          </cell>
          <cell r="I26">
            <v>-69097.209000000003</v>
          </cell>
          <cell r="J26">
            <v>-59355.042999999998</v>
          </cell>
          <cell r="K26">
            <v>-65160.279000000002</v>
          </cell>
          <cell r="L26">
            <v>-53985.48</v>
          </cell>
          <cell r="M26">
            <v>-56753.71</v>
          </cell>
          <cell r="N26">
            <v>-43191.96</v>
          </cell>
          <cell r="O26">
            <v>-38364.28</v>
          </cell>
          <cell r="P26">
            <v>-636462.23829000001</v>
          </cell>
          <cell r="Q26" t="str">
            <v xml:space="preserve"> </v>
          </cell>
        </row>
        <row r="27">
          <cell r="A27" t="str">
            <v>700000A</v>
          </cell>
          <cell r="B27" t="str">
            <v>2</v>
          </cell>
          <cell r="C27" t="str">
            <v xml:space="preserve">  Total Recoveries                      </v>
          </cell>
          <cell r="D27">
            <v>-91269.427309999999</v>
          </cell>
          <cell r="E27">
            <v>-101363.31917</v>
          </cell>
          <cell r="F27">
            <v>-106064.76832</v>
          </cell>
          <cell r="G27">
            <v>-117144.48</v>
          </cell>
          <cell r="H27">
            <v>-132211.31810999999</v>
          </cell>
          <cell r="I27">
            <v>-137274.29730000001</v>
          </cell>
          <cell r="J27">
            <v>-125859.53</v>
          </cell>
          <cell r="K27">
            <v>-142922.52100000001</v>
          </cell>
          <cell r="L27">
            <v>-118981.16</v>
          </cell>
          <cell r="M27">
            <v>-120972.76</v>
          </cell>
          <cell r="N27">
            <v>-105832.22</v>
          </cell>
          <cell r="O27">
            <v>-101720.5</v>
          </cell>
          <cell r="P27">
            <v>-1401616.3012099999</v>
          </cell>
          <cell r="Q27" t="str">
            <v xml:space="preserve"> </v>
          </cell>
        </row>
        <row r="28">
          <cell r="A28" t="str">
            <v>NIEBEFALL</v>
          </cell>
          <cell r="B28" t="str">
            <v>0</v>
          </cell>
          <cell r="C28" t="str">
            <v xml:space="preserve">Total Non-Interest Exp Bef Cost Alloc   </v>
          </cell>
          <cell r="D28">
            <v>144141.45165</v>
          </cell>
          <cell r="E28">
            <v>150519.39981999999</v>
          </cell>
          <cell r="F28">
            <v>153410.50859000001</v>
          </cell>
          <cell r="G28">
            <v>144428.57558999999</v>
          </cell>
          <cell r="H28">
            <v>141952.04045</v>
          </cell>
          <cell r="I28">
            <v>139083.14726</v>
          </cell>
          <cell r="J28">
            <v>161966.13660999999</v>
          </cell>
          <cell r="K28">
            <v>137271.90601999999</v>
          </cell>
          <cell r="L28">
            <v>155074.6808</v>
          </cell>
          <cell r="M28">
            <v>148046.3559</v>
          </cell>
          <cell r="N28">
            <v>146851.7254</v>
          </cell>
          <cell r="O28">
            <v>152163.5128</v>
          </cell>
          <cell r="P28">
            <v>1774909.44089</v>
          </cell>
          <cell r="Q28" t="str">
            <v xml:space="preserve"> </v>
          </cell>
        </row>
        <row r="29">
          <cell r="A29" t="str">
            <v>830130A</v>
          </cell>
          <cell r="B29" t="str">
            <v>1</v>
          </cell>
          <cell r="C29" t="str">
            <v xml:space="preserve">Full Time Equivalent Staff              </v>
          </cell>
          <cell r="D29">
            <v>24110.83</v>
          </cell>
          <cell r="E29">
            <v>24141.8</v>
          </cell>
          <cell r="F29">
            <v>23976.1</v>
          </cell>
          <cell r="G29">
            <v>24130</v>
          </cell>
          <cell r="H29">
            <v>24231.89</v>
          </cell>
          <cell r="I29">
            <v>24510.49</v>
          </cell>
          <cell r="J29">
            <v>24822.22</v>
          </cell>
          <cell r="K29">
            <v>24838.69</v>
          </cell>
          <cell r="L29">
            <v>26021.24</v>
          </cell>
          <cell r="M29">
            <v>25784.23</v>
          </cell>
          <cell r="N29">
            <v>24712.69</v>
          </cell>
          <cell r="O29">
            <v>24180.47</v>
          </cell>
          <cell r="P29">
            <v>24625</v>
          </cell>
          <cell r="Q29" t="str">
            <v xml:space="preserve"> </v>
          </cell>
        </row>
      </sheetData>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vs Plan"/>
      <sheetName val="NOVACT"/>
      <sheetName val="NOVPLAN"/>
      <sheetName val="NOV2"/>
      <sheetName val="output"/>
      <sheetName val="Data"/>
    </sheetNames>
    <sheetDataSet>
      <sheetData sheetId="0" refreshError="1"/>
      <sheetData sheetId="1" refreshError="1"/>
      <sheetData sheetId="2" refreshError="1">
        <row r="1">
          <cell r="A1" t="str">
            <v>account</v>
          </cell>
          <cell r="B1" t="str">
            <v>level</v>
          </cell>
          <cell r="C1" t="str">
            <v>description</v>
          </cell>
          <cell r="D1" t="str">
            <v>yplanavg_98211b_11011999</v>
          </cell>
          <cell r="E1" t="str">
            <v>yplanavg_98211b1_11011999</v>
          </cell>
          <cell r="F1" t="str">
            <v>yplanavg_98211b2_11011999</v>
          </cell>
          <cell r="G1" t="str">
            <v>yplanavg_98211b3_11011999</v>
          </cell>
          <cell r="H1" t="str">
            <v>currency_descr</v>
          </cell>
        </row>
        <row r="2">
          <cell r="A2">
            <v>600325</v>
          </cell>
          <cell r="B2" t="str">
            <v>5</v>
          </cell>
          <cell r="C2" t="str">
            <v xml:space="preserve">        Full-Time Salaries              </v>
          </cell>
          <cell r="D2">
            <v>98649</v>
          </cell>
          <cell r="E2">
            <v>35369</v>
          </cell>
          <cell r="F2">
            <v>41415</v>
          </cell>
          <cell r="G2">
            <v>21865</v>
          </cell>
          <cell r="H2" t="str">
            <v xml:space="preserve">U.S. Dollar                   </v>
          </cell>
        </row>
        <row r="3">
          <cell r="A3">
            <v>600300</v>
          </cell>
          <cell r="B3" t="str">
            <v>4</v>
          </cell>
          <cell r="C3" t="str">
            <v xml:space="preserve">      Salaries &amp; Wages                  </v>
          </cell>
          <cell r="D3">
            <v>98649</v>
          </cell>
          <cell r="E3">
            <v>35369</v>
          </cell>
          <cell r="F3">
            <v>41415</v>
          </cell>
          <cell r="G3">
            <v>21865</v>
          </cell>
          <cell r="H3" t="str">
            <v xml:space="preserve">U.S. Dollar                   </v>
          </cell>
        </row>
        <row r="4">
          <cell r="A4">
            <v>601000</v>
          </cell>
          <cell r="B4" t="str">
            <v>4</v>
          </cell>
          <cell r="C4" t="str">
            <v xml:space="preserve">      Overtime Salaries                 </v>
          </cell>
          <cell r="D4">
            <v>3267</v>
          </cell>
          <cell r="E4">
            <v>1449</v>
          </cell>
          <cell r="F4">
            <v>1371</v>
          </cell>
          <cell r="G4">
            <v>447</v>
          </cell>
          <cell r="H4" t="str">
            <v xml:space="preserve">U.S. Dollar                   </v>
          </cell>
        </row>
        <row r="5">
          <cell r="A5">
            <v>601500</v>
          </cell>
          <cell r="B5" t="str">
            <v>4</v>
          </cell>
          <cell r="C5" t="str">
            <v xml:space="preserve">      Incentive Compensation            </v>
          </cell>
          <cell r="D5">
            <v>1406</v>
          </cell>
          <cell r="E5">
            <v>453</v>
          </cell>
          <cell r="F5">
            <v>616</v>
          </cell>
          <cell r="G5">
            <v>337</v>
          </cell>
          <cell r="H5" t="str">
            <v xml:space="preserve">U.S. Dollar                   </v>
          </cell>
        </row>
        <row r="6">
          <cell r="A6">
            <v>602025</v>
          </cell>
          <cell r="B6" t="str">
            <v>5</v>
          </cell>
          <cell r="C6" t="str">
            <v xml:space="preserve">        Contract Temporary              </v>
          </cell>
          <cell r="D6">
            <v>624</v>
          </cell>
          <cell r="E6">
            <v>136</v>
          </cell>
          <cell r="F6">
            <v>394</v>
          </cell>
          <cell r="G6">
            <v>94</v>
          </cell>
          <cell r="H6" t="str">
            <v xml:space="preserve">U.S. Dollar                   </v>
          </cell>
        </row>
        <row r="7">
          <cell r="A7">
            <v>602000</v>
          </cell>
          <cell r="B7" t="str">
            <v>4</v>
          </cell>
          <cell r="C7" t="str">
            <v xml:space="preserve">      Contract Temporary/Other Compensat</v>
          </cell>
          <cell r="D7">
            <v>624</v>
          </cell>
          <cell r="E7">
            <v>136</v>
          </cell>
          <cell r="F7">
            <v>394</v>
          </cell>
          <cell r="G7">
            <v>94</v>
          </cell>
          <cell r="H7" t="str">
            <v xml:space="preserve">U.S. Dollar                   </v>
          </cell>
        </row>
        <row r="8">
          <cell r="A8">
            <v>603000</v>
          </cell>
          <cell r="B8" t="str">
            <v>4</v>
          </cell>
          <cell r="C8" t="str">
            <v xml:space="preserve">      Employee Benefits                 </v>
          </cell>
          <cell r="D8">
            <v>19366.37</v>
          </cell>
          <cell r="E8">
            <v>7022.92</v>
          </cell>
          <cell r="F8">
            <v>8119.26</v>
          </cell>
          <cell r="G8">
            <v>4224.1899999999996</v>
          </cell>
          <cell r="H8" t="str">
            <v xml:space="preserve">U.S. Dollar                   </v>
          </cell>
        </row>
        <row r="9">
          <cell r="A9">
            <v>600250</v>
          </cell>
          <cell r="B9" t="str">
            <v>2</v>
          </cell>
          <cell r="C9" t="str">
            <v xml:space="preserve">  Personnel                             </v>
          </cell>
          <cell r="D9">
            <v>123312.37</v>
          </cell>
          <cell r="E9">
            <v>44429.919999999998</v>
          </cell>
          <cell r="F9">
            <v>51915.26</v>
          </cell>
          <cell r="G9">
            <v>26967.19</v>
          </cell>
          <cell r="H9" t="str">
            <v xml:space="preserve">U.S. Dollar                   </v>
          </cell>
        </row>
        <row r="10">
          <cell r="A10">
            <v>610100</v>
          </cell>
          <cell r="B10" t="str">
            <v>3</v>
          </cell>
          <cell r="C10" t="str">
            <v xml:space="preserve">    Direct Occupancy Expense            </v>
          </cell>
          <cell r="D10">
            <v>3831.82</v>
          </cell>
          <cell r="E10">
            <v>1443.28</v>
          </cell>
          <cell r="F10">
            <v>2214.54</v>
          </cell>
          <cell r="G10">
            <v>174</v>
          </cell>
          <cell r="H10" t="str">
            <v xml:space="preserve">U.S. Dollar                   </v>
          </cell>
        </row>
        <row r="11">
          <cell r="A11">
            <v>619900</v>
          </cell>
          <cell r="B11" t="str">
            <v>3</v>
          </cell>
          <cell r="C11" t="str">
            <v xml:space="preserve">    Occupancy Exp Chargeouts Interco    </v>
          </cell>
          <cell r="D11">
            <v>20203.27</v>
          </cell>
          <cell r="E11">
            <v>7602.37</v>
          </cell>
          <cell r="F11">
            <v>9000.3799999999992</v>
          </cell>
          <cell r="G11">
            <v>3600.52</v>
          </cell>
          <cell r="H11" t="str">
            <v xml:space="preserve">U.S. Dollar                   </v>
          </cell>
        </row>
        <row r="12">
          <cell r="A12">
            <v>610000</v>
          </cell>
          <cell r="B12" t="str">
            <v>2</v>
          </cell>
          <cell r="C12" t="str">
            <v xml:space="preserve">  Net Occupancy                         </v>
          </cell>
          <cell r="D12">
            <v>24035.09</v>
          </cell>
          <cell r="E12">
            <v>9045.65</v>
          </cell>
          <cell r="F12">
            <v>11214.92</v>
          </cell>
          <cell r="G12">
            <v>3774.52</v>
          </cell>
          <cell r="H12" t="str">
            <v xml:space="preserve">U.S. Dollar                   </v>
          </cell>
        </row>
        <row r="13">
          <cell r="A13" t="str">
            <v>620200A</v>
          </cell>
          <cell r="B13" t="str">
            <v>3</v>
          </cell>
          <cell r="C13" t="str">
            <v xml:space="preserve">    Depreciation                        </v>
          </cell>
          <cell r="D13">
            <v>9709.75</v>
          </cell>
          <cell r="E13">
            <v>3436.89</v>
          </cell>
          <cell r="F13">
            <v>3871.68</v>
          </cell>
          <cell r="G13">
            <v>2401.1799999999998</v>
          </cell>
          <cell r="H13" t="str">
            <v xml:space="preserve">U.S. Dollar                   </v>
          </cell>
        </row>
        <row r="14">
          <cell r="A14" t="str">
            <v>621000A</v>
          </cell>
          <cell r="B14" t="str">
            <v>3</v>
          </cell>
          <cell r="C14" t="str">
            <v xml:space="preserve">    Rental                              </v>
          </cell>
          <cell r="D14">
            <v>1882</v>
          </cell>
          <cell r="E14">
            <v>638</v>
          </cell>
          <cell r="F14">
            <v>1132</v>
          </cell>
          <cell r="G14">
            <v>112</v>
          </cell>
          <cell r="H14" t="str">
            <v xml:space="preserve">U.S. Dollar                   </v>
          </cell>
        </row>
        <row r="15">
          <cell r="A15" t="str">
            <v>622000A</v>
          </cell>
          <cell r="B15" t="str">
            <v>3</v>
          </cell>
          <cell r="C15" t="str">
            <v xml:space="preserve">    Maintenance/Other                   </v>
          </cell>
          <cell r="D15">
            <v>10281</v>
          </cell>
          <cell r="E15">
            <v>3414</v>
          </cell>
          <cell r="F15">
            <v>4288</v>
          </cell>
          <cell r="G15">
            <v>2579</v>
          </cell>
          <cell r="H15" t="str">
            <v xml:space="preserve">U.S. Dollar                   </v>
          </cell>
        </row>
        <row r="16">
          <cell r="A16">
            <v>622900</v>
          </cell>
          <cell r="B16" t="str">
            <v>3</v>
          </cell>
          <cell r="C16" t="str">
            <v xml:space="preserve">    Furniture &amp; Equip Chargeouts I/C    </v>
          </cell>
          <cell r="D16">
            <v>781</v>
          </cell>
          <cell r="E16">
            <v>308</v>
          </cell>
          <cell r="F16">
            <v>440</v>
          </cell>
          <cell r="G16">
            <v>33</v>
          </cell>
          <cell r="H16" t="str">
            <v xml:space="preserve">U.S. Dollar                   </v>
          </cell>
        </row>
        <row r="17">
          <cell r="A17">
            <v>620000</v>
          </cell>
          <cell r="B17" t="str">
            <v>2</v>
          </cell>
          <cell r="C17" t="str">
            <v xml:space="preserve">  Furniture &amp; Equipment                 </v>
          </cell>
          <cell r="D17">
            <v>22653.75</v>
          </cell>
          <cell r="E17">
            <v>7796.89</v>
          </cell>
          <cell r="F17">
            <v>9731.68</v>
          </cell>
          <cell r="G17">
            <v>5125.18</v>
          </cell>
          <cell r="H17" t="str">
            <v xml:space="preserve">U.S. Dollar                   </v>
          </cell>
        </row>
        <row r="18">
          <cell r="A18">
            <v>623000</v>
          </cell>
          <cell r="B18" t="str">
            <v>2</v>
          </cell>
          <cell r="C18" t="str">
            <v xml:space="preserve">  Marketing &amp; Promotional               </v>
          </cell>
          <cell r="D18">
            <v>291</v>
          </cell>
          <cell r="E18">
            <v>42</v>
          </cell>
          <cell r="F18">
            <v>249</v>
          </cell>
          <cell r="G18">
            <v>0</v>
          </cell>
          <cell r="H18" t="str">
            <v xml:space="preserve">U.S. Dollar                   </v>
          </cell>
        </row>
        <row r="19">
          <cell r="A19" t="str">
            <v>630200A</v>
          </cell>
          <cell r="B19" t="str">
            <v>3</v>
          </cell>
          <cell r="C19" t="str">
            <v xml:space="preserve">    Legal                               </v>
          </cell>
          <cell r="D19">
            <v>2</v>
          </cell>
          <cell r="E19">
            <v>2</v>
          </cell>
          <cell r="F19">
            <v>0</v>
          </cell>
          <cell r="G19">
            <v>0</v>
          </cell>
          <cell r="H19" t="str">
            <v xml:space="preserve">U.S. Dollar                   </v>
          </cell>
        </row>
        <row r="20">
          <cell r="A20" t="str">
            <v>630999B</v>
          </cell>
          <cell r="B20" t="str">
            <v>3</v>
          </cell>
          <cell r="C20" t="str">
            <v xml:space="preserve">    Consulting                          </v>
          </cell>
          <cell r="D20">
            <v>8</v>
          </cell>
          <cell r="E20">
            <v>0</v>
          </cell>
          <cell r="F20">
            <v>8</v>
          </cell>
          <cell r="G20">
            <v>0</v>
          </cell>
          <cell r="H20" t="str">
            <v xml:space="preserve">U.S. Dollar                   </v>
          </cell>
        </row>
        <row r="21">
          <cell r="A21" t="str">
            <v>630999D</v>
          </cell>
          <cell r="B21" t="str">
            <v>3</v>
          </cell>
          <cell r="C21" t="str">
            <v xml:space="preserve">    Other Professional                  </v>
          </cell>
          <cell r="D21">
            <v>129</v>
          </cell>
          <cell r="E21">
            <v>5</v>
          </cell>
          <cell r="F21">
            <v>75</v>
          </cell>
          <cell r="G21">
            <v>49</v>
          </cell>
          <cell r="H21" t="str">
            <v xml:space="preserve">U.S. Dollar                   </v>
          </cell>
        </row>
        <row r="22">
          <cell r="A22">
            <v>630000</v>
          </cell>
          <cell r="B22" t="str">
            <v>2</v>
          </cell>
          <cell r="C22" t="str">
            <v xml:space="preserve">  Professional Fees                     </v>
          </cell>
          <cell r="D22">
            <v>139</v>
          </cell>
          <cell r="E22">
            <v>7</v>
          </cell>
          <cell r="F22">
            <v>83</v>
          </cell>
          <cell r="G22">
            <v>49</v>
          </cell>
          <cell r="H22" t="str">
            <v xml:space="preserve">U.S. Dollar                   </v>
          </cell>
        </row>
        <row r="23">
          <cell r="A23" t="str">
            <v>651549A</v>
          </cell>
          <cell r="B23" t="str">
            <v>3</v>
          </cell>
          <cell r="C23" t="str">
            <v xml:space="preserve">    Data Processing Fees                </v>
          </cell>
          <cell r="D23">
            <v>1934</v>
          </cell>
          <cell r="E23">
            <v>898</v>
          </cell>
          <cell r="F23">
            <v>996</v>
          </cell>
          <cell r="G23">
            <v>40</v>
          </cell>
          <cell r="H23" t="str">
            <v xml:space="preserve">U.S. Dollar                   </v>
          </cell>
        </row>
        <row r="24">
          <cell r="A24" t="str">
            <v>651609A</v>
          </cell>
          <cell r="B24" t="str">
            <v>3</v>
          </cell>
          <cell r="C24" t="str">
            <v xml:space="preserve">    Other Processing Fees               </v>
          </cell>
          <cell r="D24">
            <v>944.86</v>
          </cell>
          <cell r="E24">
            <v>222.97</v>
          </cell>
          <cell r="F24">
            <v>545.24</v>
          </cell>
          <cell r="G24">
            <v>176.65</v>
          </cell>
          <cell r="H24" t="str">
            <v xml:space="preserve">U.S. Dollar                   </v>
          </cell>
        </row>
        <row r="25">
          <cell r="A25" t="str">
            <v>652000A</v>
          </cell>
          <cell r="B25" t="str">
            <v>3</v>
          </cell>
          <cell r="C25" t="str">
            <v xml:space="preserve">    Item Processsing &amp; Check Clearing   </v>
          </cell>
          <cell r="D25">
            <v>3921</v>
          </cell>
          <cell r="E25">
            <v>1397</v>
          </cell>
          <cell r="F25">
            <v>1870</v>
          </cell>
          <cell r="G25">
            <v>654</v>
          </cell>
          <cell r="H25" t="str">
            <v xml:space="preserve">U.S. Dollar                   </v>
          </cell>
        </row>
        <row r="26">
          <cell r="A26" t="str">
            <v>651500A</v>
          </cell>
          <cell r="B26" t="str">
            <v>2</v>
          </cell>
          <cell r="C26" t="str">
            <v xml:space="preserve">  Direct Processing Expense             </v>
          </cell>
          <cell r="D26">
            <v>6799.86</v>
          </cell>
          <cell r="E26">
            <v>2517.9699999999998</v>
          </cell>
          <cell r="F26">
            <v>3411.24</v>
          </cell>
          <cell r="G26">
            <v>870.65</v>
          </cell>
          <cell r="H26" t="str">
            <v xml:space="preserve">U.S. Dollar                   </v>
          </cell>
        </row>
        <row r="27">
          <cell r="A27" t="str">
            <v>660099A</v>
          </cell>
          <cell r="B27" t="str">
            <v>4</v>
          </cell>
          <cell r="C27" t="str">
            <v xml:space="preserve">      Outbound Long Distance            </v>
          </cell>
          <cell r="D27">
            <v>14</v>
          </cell>
          <cell r="E27">
            <v>0</v>
          </cell>
          <cell r="F27">
            <v>0</v>
          </cell>
          <cell r="G27">
            <v>14</v>
          </cell>
          <cell r="H27" t="str">
            <v xml:space="preserve">U.S. Dollar                   </v>
          </cell>
        </row>
        <row r="28">
          <cell r="A28" t="str">
            <v>660199A</v>
          </cell>
          <cell r="B28" t="str">
            <v>4</v>
          </cell>
          <cell r="C28" t="str">
            <v xml:space="preserve">      Local Service                     </v>
          </cell>
          <cell r="D28">
            <v>0</v>
          </cell>
          <cell r="E28">
            <v>11</v>
          </cell>
          <cell r="F28">
            <v>0</v>
          </cell>
          <cell r="G28">
            <v>-11</v>
          </cell>
          <cell r="H28" t="str">
            <v xml:space="preserve">U.S. Dollar                   </v>
          </cell>
        </row>
        <row r="29">
          <cell r="A29" t="str">
            <v>660249A</v>
          </cell>
          <cell r="B29" t="str">
            <v>4</v>
          </cell>
          <cell r="C29" t="str">
            <v xml:space="preserve">      Security Circuits                 </v>
          </cell>
          <cell r="D29">
            <v>296</v>
          </cell>
          <cell r="E29">
            <v>-138</v>
          </cell>
          <cell r="F29">
            <v>83</v>
          </cell>
          <cell r="G29">
            <v>351</v>
          </cell>
          <cell r="H29" t="str">
            <v xml:space="preserve">U.S. Dollar                   </v>
          </cell>
        </row>
        <row r="30">
          <cell r="A30" t="str">
            <v>660349A</v>
          </cell>
          <cell r="B30" t="str">
            <v>4</v>
          </cell>
          <cell r="C30" t="str">
            <v xml:space="preserve">      Moves, Changes And Repairs        </v>
          </cell>
          <cell r="D30">
            <v>84</v>
          </cell>
          <cell r="E30">
            <v>0</v>
          </cell>
          <cell r="F30">
            <v>84</v>
          </cell>
          <cell r="G30">
            <v>0</v>
          </cell>
          <cell r="H30" t="str">
            <v xml:space="preserve">U.S. Dollar                   </v>
          </cell>
        </row>
        <row r="31">
          <cell r="A31" t="str">
            <v>660025A</v>
          </cell>
          <cell r="B31" t="str">
            <v>3</v>
          </cell>
          <cell r="C31" t="str">
            <v xml:space="preserve">    Telecommunications - Direct         </v>
          </cell>
          <cell r="D31">
            <v>394</v>
          </cell>
          <cell r="E31">
            <v>-127</v>
          </cell>
          <cell r="F31">
            <v>167</v>
          </cell>
          <cell r="G31">
            <v>354</v>
          </cell>
          <cell r="H31" t="str">
            <v xml:space="preserve">U.S. Dollar                   </v>
          </cell>
        </row>
        <row r="32">
          <cell r="A32" t="str">
            <v>660730A</v>
          </cell>
          <cell r="B32" t="str">
            <v>4</v>
          </cell>
          <cell r="C32" t="str">
            <v xml:space="preserve">      Wan Network Exp I/C               </v>
          </cell>
          <cell r="D32">
            <v>22</v>
          </cell>
          <cell r="E32">
            <v>22</v>
          </cell>
          <cell r="F32">
            <v>0</v>
          </cell>
          <cell r="G32">
            <v>0</v>
          </cell>
          <cell r="H32" t="str">
            <v xml:space="preserve">U.S. Dollar                   </v>
          </cell>
        </row>
        <row r="33">
          <cell r="A33" t="str">
            <v>660733A</v>
          </cell>
          <cell r="B33" t="str">
            <v>4</v>
          </cell>
          <cell r="C33" t="str">
            <v xml:space="preserve">      Data Network Exp I/C              </v>
          </cell>
          <cell r="D33">
            <v>6720</v>
          </cell>
          <cell r="E33">
            <v>2354</v>
          </cell>
          <cell r="F33">
            <v>3755</v>
          </cell>
          <cell r="G33">
            <v>611</v>
          </cell>
          <cell r="H33" t="str">
            <v xml:space="preserve">U.S. Dollar                   </v>
          </cell>
        </row>
        <row r="34">
          <cell r="A34" t="str">
            <v>660736A</v>
          </cell>
          <cell r="B34" t="str">
            <v>4</v>
          </cell>
          <cell r="C34" t="str">
            <v xml:space="preserve">      Dedicated Telecomm Exp I/C        </v>
          </cell>
          <cell r="D34">
            <v>1853</v>
          </cell>
          <cell r="E34">
            <v>573</v>
          </cell>
          <cell r="F34">
            <v>1217</v>
          </cell>
          <cell r="G34">
            <v>63</v>
          </cell>
          <cell r="H34" t="str">
            <v xml:space="preserve">U.S. Dollar                   </v>
          </cell>
        </row>
        <row r="35">
          <cell r="A35" t="str">
            <v>660705A</v>
          </cell>
          <cell r="B35" t="str">
            <v>3</v>
          </cell>
          <cell r="C35" t="str">
            <v xml:space="preserve">    Telecomm Chargeouts I/C             </v>
          </cell>
          <cell r="D35">
            <v>8595</v>
          </cell>
          <cell r="E35">
            <v>2949</v>
          </cell>
          <cell r="F35">
            <v>4972</v>
          </cell>
          <cell r="G35">
            <v>674</v>
          </cell>
          <cell r="H35" t="str">
            <v xml:space="preserve">U.S. Dollar                   </v>
          </cell>
        </row>
        <row r="36">
          <cell r="A36" t="str">
            <v>660000A</v>
          </cell>
          <cell r="B36" t="str">
            <v>2</v>
          </cell>
          <cell r="C36" t="str">
            <v xml:space="preserve">  Telecommunications                    </v>
          </cell>
          <cell r="D36">
            <v>8989</v>
          </cell>
          <cell r="E36">
            <v>2822</v>
          </cell>
          <cell r="F36">
            <v>5139</v>
          </cell>
          <cell r="G36">
            <v>1028</v>
          </cell>
          <cell r="H36" t="str">
            <v xml:space="preserve">U.S. Dollar                   </v>
          </cell>
        </row>
        <row r="37">
          <cell r="A37" t="str">
            <v>663000A</v>
          </cell>
          <cell r="B37" t="str">
            <v>2</v>
          </cell>
          <cell r="C37" t="str">
            <v xml:space="preserve">  Supplies                              </v>
          </cell>
          <cell r="D37">
            <v>9901</v>
          </cell>
          <cell r="E37">
            <v>3705</v>
          </cell>
          <cell r="F37">
            <v>4194</v>
          </cell>
          <cell r="G37">
            <v>2002</v>
          </cell>
          <cell r="H37" t="str">
            <v xml:space="preserve">U.S. Dollar                   </v>
          </cell>
        </row>
        <row r="38">
          <cell r="A38" t="str">
            <v>664525A</v>
          </cell>
          <cell r="B38" t="str">
            <v>3</v>
          </cell>
          <cell r="C38" t="str">
            <v xml:space="preserve">    Postage                             </v>
          </cell>
          <cell r="D38">
            <v>40607</v>
          </cell>
          <cell r="E38">
            <v>19419</v>
          </cell>
          <cell r="F38">
            <v>12934</v>
          </cell>
          <cell r="G38">
            <v>8254</v>
          </cell>
          <cell r="H38" t="str">
            <v xml:space="preserve">U.S. Dollar                   </v>
          </cell>
        </row>
        <row r="39">
          <cell r="A39" t="str">
            <v>664775A</v>
          </cell>
          <cell r="B39" t="str">
            <v>3</v>
          </cell>
          <cell r="C39" t="str">
            <v xml:space="preserve">    Postage Chargeouts I/C              </v>
          </cell>
          <cell r="D39">
            <v>429</v>
          </cell>
          <cell r="E39">
            <v>429</v>
          </cell>
          <cell r="F39">
            <v>0</v>
          </cell>
          <cell r="G39">
            <v>0</v>
          </cell>
          <cell r="H39" t="str">
            <v xml:space="preserve">U.S. Dollar                   </v>
          </cell>
        </row>
        <row r="40">
          <cell r="A40" t="str">
            <v>664500A</v>
          </cell>
          <cell r="B40" t="str">
            <v>2</v>
          </cell>
          <cell r="C40" t="str">
            <v xml:space="preserve">  Postage                               </v>
          </cell>
          <cell r="D40">
            <v>41036</v>
          </cell>
          <cell r="E40">
            <v>19848</v>
          </cell>
          <cell r="F40">
            <v>12934</v>
          </cell>
          <cell r="G40">
            <v>8254</v>
          </cell>
          <cell r="H40" t="str">
            <v xml:space="preserve">U.S. Dollar                   </v>
          </cell>
        </row>
        <row r="41">
          <cell r="A41" t="str">
            <v>665000A</v>
          </cell>
          <cell r="B41" t="str">
            <v>2</v>
          </cell>
          <cell r="C41" t="str">
            <v xml:space="preserve">  Fdic Assessment                       </v>
          </cell>
          <cell r="D41">
            <v>31</v>
          </cell>
          <cell r="E41">
            <v>0</v>
          </cell>
          <cell r="F41">
            <v>31</v>
          </cell>
          <cell r="G41">
            <v>0</v>
          </cell>
          <cell r="H41" t="str">
            <v xml:space="preserve">U.S. Dollar                   </v>
          </cell>
        </row>
        <row r="42">
          <cell r="A42" t="str">
            <v>665499I</v>
          </cell>
          <cell r="B42" t="str">
            <v>6</v>
          </cell>
          <cell r="C42" t="str">
            <v xml:space="preserve">          Employee Training &amp; Seminars  </v>
          </cell>
          <cell r="D42">
            <v>348</v>
          </cell>
          <cell r="E42">
            <v>140</v>
          </cell>
          <cell r="F42">
            <v>186</v>
          </cell>
          <cell r="G42">
            <v>22</v>
          </cell>
          <cell r="H42" t="str">
            <v xml:space="preserve">U.S. Dollar                   </v>
          </cell>
        </row>
        <row r="43">
          <cell r="A43" t="str">
            <v>665499H</v>
          </cell>
          <cell r="B43" t="str">
            <v>4</v>
          </cell>
          <cell r="C43" t="str">
            <v xml:space="preserve">      Other Employee Expense            </v>
          </cell>
          <cell r="D43">
            <v>348</v>
          </cell>
          <cell r="E43">
            <v>140</v>
          </cell>
          <cell r="F43">
            <v>186</v>
          </cell>
          <cell r="G43">
            <v>22</v>
          </cell>
          <cell r="H43" t="str">
            <v xml:space="preserve">U.S. Dollar                   </v>
          </cell>
        </row>
        <row r="44">
          <cell r="A44" t="str">
            <v>665499D</v>
          </cell>
          <cell r="B44" t="str">
            <v>3</v>
          </cell>
          <cell r="C44" t="str">
            <v xml:space="preserve">    Employee Expense                    </v>
          </cell>
          <cell r="D44">
            <v>348</v>
          </cell>
          <cell r="E44">
            <v>140</v>
          </cell>
          <cell r="F44">
            <v>186</v>
          </cell>
          <cell r="G44">
            <v>22</v>
          </cell>
          <cell r="H44" t="str">
            <v xml:space="preserve">U.S. Dollar                   </v>
          </cell>
        </row>
        <row r="45">
          <cell r="A45" t="str">
            <v>666100A</v>
          </cell>
          <cell r="B45" t="str">
            <v>3</v>
          </cell>
          <cell r="C45" t="str">
            <v xml:space="preserve">    Non-Credit Losses &amp; Recoveries      </v>
          </cell>
          <cell r="D45">
            <v>-3273</v>
          </cell>
          <cell r="E45">
            <v>-1777</v>
          </cell>
          <cell r="F45">
            <v>-1991</v>
          </cell>
          <cell r="G45">
            <v>495</v>
          </cell>
          <cell r="H45" t="str">
            <v xml:space="preserve">U.S. Dollar                   </v>
          </cell>
        </row>
        <row r="46">
          <cell r="A46" t="str">
            <v>668000A</v>
          </cell>
          <cell r="B46" t="str">
            <v>3</v>
          </cell>
          <cell r="C46" t="str">
            <v xml:space="preserve">    Other Miscellaneous Operating       </v>
          </cell>
          <cell r="D46">
            <v>-58</v>
          </cell>
          <cell r="E46">
            <v>-38</v>
          </cell>
          <cell r="F46">
            <v>146</v>
          </cell>
          <cell r="G46">
            <v>-166</v>
          </cell>
          <cell r="H46" t="str">
            <v xml:space="preserve">U.S. Dollar                   </v>
          </cell>
        </row>
        <row r="47">
          <cell r="A47" t="str">
            <v>665499A</v>
          </cell>
          <cell r="B47" t="str">
            <v>2</v>
          </cell>
          <cell r="C47" t="str">
            <v xml:space="preserve">  All Other General Operating           </v>
          </cell>
          <cell r="D47">
            <v>-2983</v>
          </cell>
          <cell r="E47">
            <v>-1675</v>
          </cell>
          <cell r="F47">
            <v>-1659</v>
          </cell>
          <cell r="G47">
            <v>351</v>
          </cell>
          <cell r="H47" t="str">
            <v xml:space="preserve">U.S. Dollar                   </v>
          </cell>
        </row>
        <row r="48">
          <cell r="A48" t="str">
            <v>670200A</v>
          </cell>
          <cell r="B48" t="str">
            <v>3</v>
          </cell>
          <cell r="C48" t="str">
            <v xml:space="preserve">    Travel                              </v>
          </cell>
          <cell r="D48">
            <v>843</v>
          </cell>
          <cell r="E48">
            <v>226</v>
          </cell>
          <cell r="F48">
            <v>319</v>
          </cell>
          <cell r="G48">
            <v>298</v>
          </cell>
          <cell r="H48" t="str">
            <v xml:space="preserve">U.S. Dollar                   </v>
          </cell>
        </row>
        <row r="49">
          <cell r="A49" t="str">
            <v>670800A</v>
          </cell>
          <cell r="B49" t="str">
            <v>3</v>
          </cell>
          <cell r="C49" t="str">
            <v xml:space="preserve">    Taxes Other Than Income             </v>
          </cell>
          <cell r="D49">
            <v>44</v>
          </cell>
          <cell r="E49">
            <v>23</v>
          </cell>
          <cell r="F49">
            <v>21</v>
          </cell>
          <cell r="G49">
            <v>0</v>
          </cell>
          <cell r="H49" t="str">
            <v xml:space="preserve">U.S. Dollar                   </v>
          </cell>
        </row>
        <row r="50">
          <cell r="A50" t="str">
            <v>671200A</v>
          </cell>
          <cell r="B50" t="str">
            <v>3</v>
          </cell>
          <cell r="C50" t="str">
            <v xml:space="preserve">    Subscription Services               </v>
          </cell>
          <cell r="D50">
            <v>35</v>
          </cell>
          <cell r="E50">
            <v>5</v>
          </cell>
          <cell r="F50">
            <v>29</v>
          </cell>
          <cell r="G50">
            <v>1</v>
          </cell>
          <cell r="H50" t="str">
            <v xml:space="preserve">U.S. Dollar                   </v>
          </cell>
        </row>
        <row r="51">
          <cell r="A51" t="str">
            <v>671500A</v>
          </cell>
          <cell r="B51" t="str">
            <v>3</v>
          </cell>
          <cell r="C51" t="str">
            <v xml:space="preserve">    Other Admin Expense                 </v>
          </cell>
          <cell r="D51">
            <v>28</v>
          </cell>
          <cell r="E51">
            <v>11</v>
          </cell>
          <cell r="F51">
            <v>0</v>
          </cell>
          <cell r="G51">
            <v>17</v>
          </cell>
          <cell r="H51" t="str">
            <v xml:space="preserve">U.S. Dollar                   </v>
          </cell>
        </row>
        <row r="52">
          <cell r="A52">
            <v>670000</v>
          </cell>
          <cell r="B52" t="str">
            <v>2</v>
          </cell>
          <cell r="C52" t="str">
            <v xml:space="preserve">  General Administrative                </v>
          </cell>
          <cell r="D52">
            <v>950</v>
          </cell>
          <cell r="E52">
            <v>265</v>
          </cell>
          <cell r="F52">
            <v>369</v>
          </cell>
          <cell r="G52">
            <v>316</v>
          </cell>
          <cell r="H52" t="str">
            <v xml:space="preserve">U.S. Dollar                   </v>
          </cell>
        </row>
        <row r="53">
          <cell r="A53" t="str">
            <v>DIREXP-SC</v>
          </cell>
          <cell r="B53" t="str">
            <v>0</v>
          </cell>
          <cell r="C53" t="str">
            <v xml:space="preserve">Total Direct Expense                    </v>
          </cell>
          <cell r="D53">
            <v>235155.07</v>
          </cell>
          <cell r="E53">
            <v>88804.43</v>
          </cell>
          <cell r="F53">
            <v>97613.1</v>
          </cell>
          <cell r="G53">
            <v>48737.54</v>
          </cell>
          <cell r="H53" t="str">
            <v xml:space="preserve">U.S. Dollar                   </v>
          </cell>
        </row>
        <row r="54">
          <cell r="A54" t="str">
            <v>NIEBEFALL</v>
          </cell>
          <cell r="B54" t="str">
            <v>0</v>
          </cell>
          <cell r="C54" t="str">
            <v xml:space="preserve">Total Non-Interest Exp Bef Cost Alloc   </v>
          </cell>
          <cell r="D54">
            <v>235155.07</v>
          </cell>
          <cell r="E54">
            <v>88804.43</v>
          </cell>
          <cell r="F54">
            <v>97613.1</v>
          </cell>
          <cell r="G54">
            <v>48737.54</v>
          </cell>
          <cell r="H54" t="str">
            <v xml:space="preserve">U.S. Dollar                   </v>
          </cell>
        </row>
        <row r="55">
          <cell r="A55" t="str">
            <v>600000A</v>
          </cell>
          <cell r="B55" t="str">
            <v>1</v>
          </cell>
          <cell r="C55" t="str">
            <v xml:space="preserve">Total Non - Interest Expense            </v>
          </cell>
          <cell r="D55">
            <v>93769.07</v>
          </cell>
          <cell r="E55">
            <v>-55422.57</v>
          </cell>
          <cell r="F55">
            <v>96518.1</v>
          </cell>
          <cell r="G55">
            <v>52673.54</v>
          </cell>
          <cell r="H55" t="str">
            <v xml:space="preserve">U.S. Dollar                   </v>
          </cell>
        </row>
        <row r="56">
          <cell r="A56" t="str">
            <v>TOTLOANS</v>
          </cell>
          <cell r="B56" t="str">
            <v>0</v>
          </cell>
          <cell r="C56" t="str">
            <v xml:space="preserve">Total Loans &amp; Leases                    </v>
          </cell>
          <cell r="D56">
            <v>2095</v>
          </cell>
          <cell r="E56">
            <v>-11</v>
          </cell>
          <cell r="F56">
            <v>2106</v>
          </cell>
          <cell r="G56">
            <v>0</v>
          </cell>
          <cell r="H56" t="str">
            <v xml:space="preserve">U.S. Dollar                   </v>
          </cell>
        </row>
        <row r="57">
          <cell r="A57">
            <v>830149</v>
          </cell>
          <cell r="B57" t="str">
            <v>7</v>
          </cell>
          <cell r="C57" t="str">
            <v xml:space="preserve">            Emp Headcount-Full Time     </v>
          </cell>
          <cell r="D57">
            <v>4559.68</v>
          </cell>
          <cell r="E57">
            <v>1611.15</v>
          </cell>
          <cell r="F57">
            <v>1875.25</v>
          </cell>
          <cell r="G57">
            <v>1073.28</v>
          </cell>
          <cell r="H57" t="str">
            <v xml:space="preserve">U.S. Dollar                   </v>
          </cell>
        </row>
        <row r="58">
          <cell r="A58" t="str">
            <v>830130A</v>
          </cell>
          <cell r="B58" t="str">
            <v>1</v>
          </cell>
          <cell r="C58" t="str">
            <v xml:space="preserve">Full Time Equivalent Staff              </v>
          </cell>
          <cell r="D58">
            <v>4559.68</v>
          </cell>
          <cell r="E58">
            <v>1611.15</v>
          </cell>
          <cell r="F58">
            <v>1875.25</v>
          </cell>
          <cell r="G58">
            <v>1073.28</v>
          </cell>
          <cell r="H58" t="str">
            <v xml:space="preserve">U.S. Dollar                   </v>
          </cell>
        </row>
        <row r="59">
          <cell r="A59" t="str">
            <v>TOTDEPS</v>
          </cell>
          <cell r="B59" t="str">
            <v>0</v>
          </cell>
          <cell r="C59" t="str">
            <v xml:space="preserve">Total Deposits                          </v>
          </cell>
          <cell r="D59">
            <v>176215</v>
          </cell>
          <cell r="E59">
            <v>114717</v>
          </cell>
          <cell r="F59">
            <v>61498</v>
          </cell>
          <cell r="G59">
            <v>0</v>
          </cell>
          <cell r="H59" t="str">
            <v xml:space="preserve">U.S. Dollar                   </v>
          </cell>
        </row>
      </sheetData>
      <sheetData sheetId="3" refreshError="1"/>
      <sheetData sheetId="4" refreshError="1"/>
      <sheetData sheetId="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anaged Loans"/>
      <sheetName val="Instructions"/>
      <sheetName val="Statics"/>
      <sheetName val="Input"/>
      <sheetName val="Cover"/>
      <sheetName val="Table of Contents"/>
      <sheetName val="Consol_WTristar"/>
      <sheetName val="Consol2_WTristar"/>
      <sheetName val="Retail"/>
      <sheetName val="Corp"/>
      <sheetName val="Comm"/>
      <sheetName val="WMG"/>
      <sheetName val="CFS"/>
      <sheetName val="TriStar"/>
      <sheetName val="Treasury"/>
      <sheetName val="AL"/>
      <sheetName val="TX"/>
      <sheetName val="FL"/>
      <sheetName val="CO"/>
      <sheetName val="AZ"/>
      <sheetName val="NM"/>
      <sheetName val="Module5"/>
    </sheetNames>
    <sheetDataSet>
      <sheetData sheetId="0" refreshError="1"/>
      <sheetData sheetId="1" refreshError="1"/>
      <sheetData sheetId="2" refreshError="1"/>
      <sheetData sheetId="3" refreshError="1"/>
      <sheetData sheetId="4" refreshError="1">
        <row r="40">
          <cell r="B40" t="str">
            <v>Phyllis Brown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sheetName val="instructions"/>
      <sheetName val="plan"/>
      <sheetName val="forecast"/>
      <sheetName val="variance"/>
      <sheetName val="2DOT99"/>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FCST"/>
      <sheetName val="DATA"/>
      <sheetName val="Small Bus-TOTAL RETAIL ONLY"/>
      <sheetName val="YTD Small Bus_by Seg"/>
      <sheetName val="Small Bus_by Seg"/>
      <sheetName val="sm buz- # of Cust"/>
      <sheetName val="medical - P&amp;L"/>
      <sheetName val="non-Profit - P&amp;L"/>
      <sheetName val="WC - P&amp;L"/>
      <sheetName val="oth - P&amp;L"/>
      <sheetName val="Not Class - P&amp;L"/>
      <sheetName val="SB Trends"/>
      <sheetName val="SB Trends WC"/>
      <sheetName val="SB Trends Med"/>
      <sheetName val="Sheet3"/>
      <sheetName val="Medical"/>
      <sheetName val="Non-Profit"/>
      <sheetName val="White Collar"/>
      <sheetName val="Other"/>
      <sheetName val="Not Classified"/>
      <sheetName val="Total Other"/>
      <sheetName val="Segment Type - Curr Mo"/>
      <sheetName val="Segment Type - # of Cust"/>
      <sheetName val="All Seg - P&amp;L - BS"/>
      <sheetName val="Print"/>
      <sheetName val="Process By Mgr"/>
      <sheetName val="FTA"/>
      <sheetName val="FTB"/>
      <sheetName val="FTC"/>
      <sheetName val="FTD"/>
      <sheetName val="FTE"/>
      <sheetName val="FTF"/>
      <sheetName val="FTG"/>
      <sheetName val="FTH"/>
      <sheetName val="FTJ"/>
      <sheetName val="FTL"/>
      <sheetName val="DECFCST.XLS"/>
    </sheetNames>
    <definedNames>
      <definedName name="print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rrpp 2005"/>
      <sheetName val="prefe_subor"/>
      <sheetName val="Tabla_de_Tipos"/>
      <sheetName val="datos_rrpp"/>
      <sheetName val="datos_rrpp_medios"/>
      <sheetName val="datos_rrpp (2)"/>
      <sheetName val="datos_rrpp_medios (2)"/>
      <sheetName val="datos_rrpp (3)"/>
      <sheetName val="datos_rrpp_medios (3)"/>
      <sheetName val="SUMA"/>
      <sheetName val="SUMAMEDIOS"/>
      <sheetName val="consulta dc"/>
      <sheetName val="consulta peg"/>
      <sheetName val="consultamedios dc"/>
      <sheetName val="consultamedios peg"/>
      <sheetName val="sumarec"/>
      <sheetName val="sumamediosrec"/>
      <sheetName val="sumadac"/>
      <sheetName val="sumamediosdac"/>
      <sheetName val="consultarec dc"/>
      <sheetName val="consultarec ag"/>
      <sheetName val="consultarec oag"/>
      <sheetName val="consultarec ct"/>
      <sheetName val="consultarec peg"/>
      <sheetName val="consultarec ias"/>
      <sheetName val="consultarec medios dc"/>
      <sheetName val="consultarec medios ag"/>
      <sheetName val="consultarec medios oag"/>
      <sheetName val="consultarec medios ct"/>
      <sheetName val="consultarec medios peg"/>
      <sheetName val="consultarec medios ias"/>
      <sheetName val="consultadac dc"/>
      <sheetName val="consultadac ag"/>
      <sheetName val="consultadac oag"/>
      <sheetName val="consultadac ct"/>
      <sheetName val="consultadac peg"/>
      <sheetName val="consultadac ias"/>
      <sheetName val="consultadac medios dc"/>
      <sheetName val="consultadac medios ag"/>
      <sheetName val="consultadac medios oag"/>
      <sheetName val="consultadac medios ct"/>
      <sheetName val="consultadac medios peg"/>
      <sheetName val="consultadac medios ias"/>
      <sheetName val="unidades_anulacion_rtdosCC"/>
      <sheetName val="unidades_SIN_rtdosCC"/>
      <sheetName val="CONSULTA CSL FONDO COMERCIO"/>
      <sheetName val="consulta desglose corporativa"/>
      <sheetName val="TABLA_UNIDADES"/>
      <sheetName val="TABLA_EPIGRAFES"/>
      <sheetName val="statics"/>
      <sheetName val="DATOS"/>
      <sheetName val="PRC 15"/>
      <sheetName val="Valuation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rrpp 2004"/>
      <sheetName val="america"/>
      <sheetName val="prefe_subor"/>
      <sheetName val="Tabla_de_Tipos"/>
      <sheetName val="datos_rrpp"/>
      <sheetName val="datos_rrpp_medios"/>
      <sheetName val="datos_rrpp (2)"/>
      <sheetName val="datos_rrpp_medios (2)"/>
      <sheetName val="datos_rrpp (3)"/>
      <sheetName val="datos_rrpp_medios (3)"/>
      <sheetName val="suma"/>
      <sheetName val="sumamedios"/>
      <sheetName val="sumarec"/>
      <sheetName val="sumamediosrec"/>
      <sheetName val="sumadac"/>
      <sheetName val="sumamediosdac"/>
      <sheetName val="consulta dc"/>
      <sheetName val="consulta peg"/>
      <sheetName val="consultamedios dc"/>
      <sheetName val="consultamedios peg"/>
      <sheetName val="consultarec dc"/>
      <sheetName val="consultarec ag"/>
      <sheetName val="consultarec oag"/>
      <sheetName val="consultarec ct"/>
      <sheetName val="consultarec peg"/>
      <sheetName val="consultarec ias"/>
      <sheetName val="consultarec medios dc"/>
      <sheetName val="consultarec medios ag"/>
      <sheetName val="consultarec medios oag"/>
      <sheetName val="consultarec medios ct"/>
      <sheetName val="consultarec medios peg"/>
      <sheetName val="consultarec medios ias"/>
      <sheetName val="consultadac dc"/>
      <sheetName val="consultadac ag"/>
      <sheetName val="consultadac oag"/>
      <sheetName val="consultadac ct"/>
      <sheetName val="consultadac peg"/>
      <sheetName val="consultadac ias"/>
      <sheetName val="consultadac medios dc"/>
      <sheetName val="consultadac medios ag"/>
      <sheetName val="consultadac medios oag"/>
      <sheetName val="consultadac medios ct"/>
      <sheetName val="consultadac medios peg"/>
      <sheetName val="consultadac medios ias"/>
      <sheetName val="CONSULTA CSL FONDO COMERCIO"/>
      <sheetName val="TABLA_UNIDADES"/>
      <sheetName val="unidades_anulacion_rtdosCC"/>
      <sheetName val="unidades_SIN_rtdosCC"/>
      <sheetName val="TABLA_EPIGRAFES"/>
      <sheetName val="consulta"/>
      <sheetName val="consultamedios"/>
      <sheetName val="consulta desglose corporativa"/>
    </sheetNames>
    <sheetDataSet>
      <sheetData sheetId="0" refreshError="1"/>
      <sheetData sheetId="1" refreshError="1"/>
      <sheetData sheetId="2" refreshError="1"/>
      <sheetData sheetId="3" refreshError="1">
        <row r="6">
          <cell r="B6" t="str">
            <v xml:space="preserve"> MIBOR año</v>
          </cell>
          <cell r="C6">
            <v>2.2999999999999998</v>
          </cell>
          <cell r="D6">
            <v>2.266</v>
          </cell>
          <cell r="E6">
            <v>2.2349999999999999</v>
          </cell>
          <cell r="F6">
            <v>2.2280000000000002</v>
          </cell>
          <cell r="G6">
            <v>2.2168000000000001</v>
          </cell>
          <cell r="H6">
            <v>2.2483686507936507</v>
          </cell>
          <cell r="I6">
            <v>2.2721985256289599</v>
          </cell>
          <cell r="J6">
            <v>2.2752882426752001</v>
          </cell>
          <cell r="K6">
            <v>2.2845683653303199</v>
          </cell>
          <cell r="L6">
            <v>2.2865173113118802</v>
          </cell>
          <cell r="M6">
            <v>2.2797532961603619</v>
          </cell>
          <cell r="N6">
            <v>2.2726092312880355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1Input"/>
      <sheetName val="Actual_Model"/>
      <sheetName val="1stfwdqtr"/>
      <sheetName val="Full_Forecast"/>
      <sheetName val="TABLA_EPIGRAFES"/>
      <sheetName val="Tabla_de_Tipos"/>
      <sheetName val="TABLAS"/>
    </sheetNames>
    <sheetDataSet>
      <sheetData sheetId="0" refreshError="1">
        <row r="24">
          <cell r="G24">
            <v>3200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DERIVADOS"/>
      <sheetName val="C-V DIVISAS"/>
      <sheetName val="DPTOS. BBVA"/>
      <sheetName val="CUADREDPTOS"/>
      <sheetName val="DPTOS  BBVA - COMERCIO"/>
      <sheetName val="DPTOS COMERCIO"/>
      <sheetName val="RIESMER"/>
      <sheetName val="Posiciones"/>
      <sheetName val="NEGEXTR Ago"/>
      <sheetName val="Portafolios Sanos A C.Cuentas"/>
      <sheetName val="CONTROL 97"/>
      <sheetName val="Riesgo clientes"/>
    </sheetNames>
    <sheetDataSet>
      <sheetData sheetId="0" refreshError="1">
        <row r="11">
          <cell r="A11">
            <v>1</v>
          </cell>
          <cell r="B11" t="str">
            <v>BBV PRIVANZA INT'L. (GIBRALTAR) LTD.</v>
          </cell>
          <cell r="D11">
            <v>7672</v>
          </cell>
          <cell r="E11">
            <v>4612</v>
          </cell>
          <cell r="F11">
            <v>1344</v>
          </cell>
          <cell r="G11">
            <v>1573</v>
          </cell>
          <cell r="H11">
            <v>432</v>
          </cell>
          <cell r="I11">
            <v>6936</v>
          </cell>
          <cell r="J11">
            <v>3</v>
          </cell>
        </row>
        <row r="12">
          <cell r="A12">
            <v>2</v>
          </cell>
          <cell r="B12" t="str">
            <v>BBVA GLOBAL FINANCE, LTD.</v>
          </cell>
          <cell r="D12">
            <v>158</v>
          </cell>
          <cell r="E12">
            <v>964</v>
          </cell>
          <cell r="F12">
            <v>1344</v>
          </cell>
          <cell r="G12">
            <v>1573</v>
          </cell>
          <cell r="H12">
            <v>432</v>
          </cell>
          <cell r="I12">
            <v>6936</v>
          </cell>
          <cell r="J12">
            <v>3</v>
          </cell>
        </row>
        <row r="13">
          <cell r="A13">
            <v>3</v>
          </cell>
          <cell r="B13" t="str">
            <v>BILBAO VIZCAYA INTERNATIONAL LTD.</v>
          </cell>
          <cell r="D13">
            <v>7673</v>
          </cell>
          <cell r="E13">
            <v>964</v>
          </cell>
          <cell r="F13">
            <v>1344</v>
          </cell>
          <cell r="G13">
            <v>1573</v>
          </cell>
          <cell r="H13">
            <v>432</v>
          </cell>
          <cell r="I13">
            <v>6936</v>
          </cell>
          <cell r="J13">
            <v>3</v>
          </cell>
        </row>
        <row r="14">
          <cell r="A14">
            <v>4</v>
          </cell>
          <cell r="B14" t="str">
            <v>BILBAO VIZCAYA INVESTMENT, BV</v>
          </cell>
          <cell r="E14">
            <v>5586</v>
          </cell>
          <cell r="F14">
            <v>1344</v>
          </cell>
          <cell r="G14">
            <v>1573</v>
          </cell>
          <cell r="H14">
            <v>432</v>
          </cell>
          <cell r="I14">
            <v>6936</v>
          </cell>
          <cell r="J14">
            <v>3</v>
          </cell>
        </row>
        <row r="15">
          <cell r="A15">
            <v>5</v>
          </cell>
          <cell r="B15" t="str">
            <v>BBV LATINVEST SECURITIES - NEW  YORK</v>
          </cell>
          <cell r="F15">
            <v>1344</v>
          </cell>
          <cell r="G15">
            <v>1573</v>
          </cell>
          <cell r="H15">
            <v>432</v>
          </cell>
          <cell r="I15">
            <v>6936</v>
          </cell>
          <cell r="J15">
            <v>3</v>
          </cell>
        </row>
        <row r="16">
          <cell r="A16">
            <v>6</v>
          </cell>
          <cell r="B16" t="str">
            <v>BBV-INTERNATIONAL INVEST. CORP. - PUERTO RICO</v>
          </cell>
          <cell r="C16">
            <v>1521</v>
          </cell>
          <cell r="D16">
            <v>5159</v>
          </cell>
          <cell r="F16">
            <v>1344</v>
          </cell>
          <cell r="G16">
            <v>1573</v>
          </cell>
          <cell r="H16">
            <v>432</v>
          </cell>
          <cell r="I16">
            <v>6936</v>
          </cell>
          <cell r="J16">
            <v>3</v>
          </cell>
        </row>
        <row r="17">
          <cell r="A17">
            <v>7</v>
          </cell>
          <cell r="B17" t="str">
            <v>BANCO EUROPEO DE INVERSIONES</v>
          </cell>
          <cell r="C17">
            <v>124</v>
          </cell>
          <cell r="D17">
            <v>233</v>
          </cell>
        </row>
        <row r="18">
          <cell r="A18">
            <v>22</v>
          </cell>
          <cell r="B18" t="str">
            <v>BBVA GLOBAL FINANCE, LTD.</v>
          </cell>
          <cell r="D18">
            <v>7673</v>
          </cell>
          <cell r="E18">
            <v>964</v>
          </cell>
          <cell r="F18">
            <v>1344</v>
          </cell>
          <cell r="G18">
            <v>1573</v>
          </cell>
          <cell r="H18">
            <v>432</v>
          </cell>
          <cell r="I18">
            <v>6936</v>
          </cell>
          <cell r="J18">
            <v>3</v>
          </cell>
        </row>
        <row r="19">
          <cell r="A19">
            <v>30</v>
          </cell>
          <cell r="B19" t="str">
            <v>EUROSEGUROS, S.A.</v>
          </cell>
          <cell r="D19">
            <v>5381</v>
          </cell>
          <cell r="E19">
            <v>964</v>
          </cell>
          <cell r="F19">
            <v>4421</v>
          </cell>
          <cell r="G19">
            <v>4429</v>
          </cell>
          <cell r="H19">
            <v>4453</v>
          </cell>
          <cell r="I19">
            <v>4535</v>
          </cell>
          <cell r="J19">
            <v>3</v>
          </cell>
        </row>
        <row r="20">
          <cell r="A20">
            <v>35</v>
          </cell>
          <cell r="B20" t="str">
            <v>BBV- CARTERA DE TITULOS</v>
          </cell>
          <cell r="C20">
            <v>6650</v>
          </cell>
          <cell r="D20">
            <v>5381</v>
          </cell>
          <cell r="F20">
            <v>4421</v>
          </cell>
          <cell r="G20">
            <v>4429</v>
          </cell>
          <cell r="H20">
            <v>4453</v>
          </cell>
          <cell r="I20">
            <v>4535</v>
          </cell>
          <cell r="J20">
            <v>0</v>
          </cell>
        </row>
        <row r="21">
          <cell r="A21">
            <v>50</v>
          </cell>
          <cell r="B21" t="str">
            <v>INTERNATIONAL FINANCE CORPORATION</v>
          </cell>
          <cell r="C21">
            <v>6650</v>
          </cell>
          <cell r="D21">
            <v>6628</v>
          </cell>
          <cell r="F21">
            <v>1344</v>
          </cell>
          <cell r="G21">
            <v>1573</v>
          </cell>
          <cell r="H21">
            <v>432</v>
          </cell>
          <cell r="I21">
            <v>6936</v>
          </cell>
          <cell r="J21">
            <v>0</v>
          </cell>
        </row>
        <row r="22">
          <cell r="A22">
            <v>51</v>
          </cell>
          <cell r="B22" t="str">
            <v>BERD (BCO. EUROPEO RECONSTR. Y DESARROLLO)</v>
          </cell>
          <cell r="F22">
            <v>1344</v>
          </cell>
          <cell r="G22">
            <v>1573</v>
          </cell>
          <cell r="H22">
            <v>432</v>
          </cell>
          <cell r="I22">
            <v>6936</v>
          </cell>
        </row>
        <row r="23">
          <cell r="A23">
            <v>52</v>
          </cell>
          <cell r="B23" t="str">
            <v>MORGAN GUARANTY TRUST CO OF NEW YORK - LONDON</v>
          </cell>
          <cell r="F23">
            <v>1344</v>
          </cell>
          <cell r="G23">
            <v>1573</v>
          </cell>
          <cell r="H23">
            <v>432</v>
          </cell>
          <cell r="I23">
            <v>6936</v>
          </cell>
        </row>
        <row r="24">
          <cell r="A24">
            <v>53</v>
          </cell>
          <cell r="B24" t="str">
            <v>MORGAN STANLEY AND CO. INT'L. LTD. - LONDON</v>
          </cell>
          <cell r="F24">
            <v>1344</v>
          </cell>
          <cell r="G24">
            <v>1573</v>
          </cell>
          <cell r="H24">
            <v>432</v>
          </cell>
          <cell r="I24">
            <v>6936</v>
          </cell>
        </row>
        <row r="25">
          <cell r="A25">
            <v>54</v>
          </cell>
          <cell r="B25" t="str">
            <v>MERRILL LYNCH DERIVATIVE  PRODUCTS - LONDON</v>
          </cell>
          <cell r="C25">
            <v>4597</v>
          </cell>
          <cell r="F25">
            <v>1344</v>
          </cell>
          <cell r="G25">
            <v>1573</v>
          </cell>
          <cell r="H25">
            <v>432</v>
          </cell>
          <cell r="I25">
            <v>6936</v>
          </cell>
        </row>
        <row r="26">
          <cell r="A26">
            <v>55</v>
          </cell>
          <cell r="B26" t="str">
            <v>GOLDMAN SACHS MITSUI MARINE DER. PROD. - NEW YORK</v>
          </cell>
          <cell r="C26">
            <v>4597</v>
          </cell>
          <cell r="F26">
            <v>1344</v>
          </cell>
          <cell r="G26">
            <v>1573</v>
          </cell>
          <cell r="H26">
            <v>432</v>
          </cell>
          <cell r="I26">
            <v>6936</v>
          </cell>
        </row>
        <row r="27">
          <cell r="A27">
            <v>56</v>
          </cell>
          <cell r="B27" t="str">
            <v>BANCO CENTRAL DO BRASIL</v>
          </cell>
          <cell r="D27">
            <v>5138</v>
          </cell>
          <cell r="F27">
            <v>1344</v>
          </cell>
          <cell r="G27">
            <v>1573</v>
          </cell>
          <cell r="H27">
            <v>432</v>
          </cell>
          <cell r="I27">
            <v>6936</v>
          </cell>
        </row>
        <row r="28">
          <cell r="A28">
            <v>57</v>
          </cell>
          <cell r="B28" t="str">
            <v>BANCO BILBAO VIZCAYA BRASIL, S.A. - NASSAU</v>
          </cell>
          <cell r="C28">
            <v>1521</v>
          </cell>
          <cell r="D28">
            <v>5138</v>
          </cell>
          <cell r="F28">
            <v>1344</v>
          </cell>
          <cell r="G28">
            <v>1573</v>
          </cell>
          <cell r="H28">
            <v>432</v>
          </cell>
          <cell r="I28">
            <v>6936</v>
          </cell>
          <cell r="J28">
            <v>3</v>
          </cell>
        </row>
        <row r="29">
          <cell r="A29">
            <v>58</v>
          </cell>
          <cell r="B29" t="str">
            <v>ING BARING (US) CAPITAL MARKETS - NEW YORK</v>
          </cell>
          <cell r="C29">
            <v>1521</v>
          </cell>
          <cell r="D29">
            <v>5159</v>
          </cell>
          <cell r="F29">
            <v>1344</v>
          </cell>
          <cell r="G29">
            <v>1573</v>
          </cell>
          <cell r="H29">
            <v>432</v>
          </cell>
          <cell r="I29">
            <v>6936</v>
          </cell>
          <cell r="J29">
            <v>3</v>
          </cell>
        </row>
        <row r="30">
          <cell r="A30">
            <v>59</v>
          </cell>
          <cell r="B30" t="str">
            <v>BANCO DE DESARROLLO DEL CONSEJO DE EUROPA</v>
          </cell>
          <cell r="F30">
            <v>1344</v>
          </cell>
          <cell r="G30">
            <v>1573</v>
          </cell>
          <cell r="H30">
            <v>432</v>
          </cell>
          <cell r="I30">
            <v>6936</v>
          </cell>
        </row>
        <row r="31">
          <cell r="A31">
            <v>60</v>
          </cell>
          <cell r="B31" t="str">
            <v>BILBAO VIZCAYA AMERICA BV</v>
          </cell>
          <cell r="D31">
            <v>158</v>
          </cell>
          <cell r="F31">
            <v>1593</v>
          </cell>
          <cell r="G31">
            <v>6945</v>
          </cell>
          <cell r="H31">
            <v>6935</v>
          </cell>
          <cell r="I31">
            <v>6937</v>
          </cell>
          <cell r="J31">
            <v>3</v>
          </cell>
        </row>
        <row r="32">
          <cell r="A32">
            <v>61</v>
          </cell>
          <cell r="B32" t="str">
            <v>BBV - DPTO CENTRAL EXTRANJERO</v>
          </cell>
          <cell r="C32">
            <v>6650</v>
          </cell>
          <cell r="D32">
            <v>158</v>
          </cell>
          <cell r="F32">
            <v>1593</v>
          </cell>
          <cell r="G32">
            <v>6945</v>
          </cell>
          <cell r="H32">
            <v>6935</v>
          </cell>
          <cell r="I32">
            <v>6937</v>
          </cell>
          <cell r="J32">
            <v>0</v>
          </cell>
        </row>
        <row r="33">
          <cell r="A33">
            <v>70</v>
          </cell>
          <cell r="B33" t="str">
            <v>BANCO FRANCES, S.A.</v>
          </cell>
          <cell r="C33">
            <v>1521</v>
          </cell>
          <cell r="D33">
            <v>5159</v>
          </cell>
          <cell r="J33">
            <v>3</v>
          </cell>
        </row>
        <row r="34">
          <cell r="A34">
            <v>71</v>
          </cell>
          <cell r="B34" t="str">
            <v xml:space="preserve">BBV PRIVANZA BANK (JERSEY) LTD. </v>
          </cell>
          <cell r="C34">
            <v>1521</v>
          </cell>
          <cell r="D34">
            <v>5159</v>
          </cell>
          <cell r="J34">
            <v>3</v>
          </cell>
        </row>
        <row r="35">
          <cell r="A35">
            <v>72</v>
          </cell>
          <cell r="B35" t="str">
            <v xml:space="preserve">BBV PRIVANZA BANK (SWITZERLAND) LTD. </v>
          </cell>
          <cell r="C35">
            <v>1521</v>
          </cell>
          <cell r="D35">
            <v>5159</v>
          </cell>
          <cell r="J35">
            <v>3</v>
          </cell>
        </row>
        <row r="36">
          <cell r="A36">
            <v>80</v>
          </cell>
          <cell r="B36" t="str">
            <v>PLATON INVESTMENTS</v>
          </cell>
          <cell r="C36">
            <v>1521</v>
          </cell>
          <cell r="D36">
            <v>5159</v>
          </cell>
          <cell r="E36">
            <v>944</v>
          </cell>
          <cell r="F36">
            <v>1344</v>
          </cell>
          <cell r="G36">
            <v>1573</v>
          </cell>
          <cell r="H36">
            <v>432</v>
          </cell>
          <cell r="I36">
            <v>6936</v>
          </cell>
          <cell r="J36">
            <v>3</v>
          </cell>
        </row>
        <row r="37">
          <cell r="A37">
            <v>81</v>
          </cell>
          <cell r="B37" t="str">
            <v>SEGUNDA CIA. GRAL. DE INTERCAMBIO</v>
          </cell>
          <cell r="E37">
            <v>944</v>
          </cell>
          <cell r="F37">
            <v>1344</v>
          </cell>
          <cell r="G37">
            <v>1573</v>
          </cell>
          <cell r="H37">
            <v>432</v>
          </cell>
          <cell r="I37">
            <v>6936</v>
          </cell>
        </row>
        <row r="38">
          <cell r="A38">
            <v>182</v>
          </cell>
          <cell r="B38" t="str">
            <v>BANCO BILBAO VIZCAYA ARGENTARIA, S.A.</v>
          </cell>
          <cell r="C38">
            <v>6650</v>
          </cell>
          <cell r="D38">
            <v>6628</v>
          </cell>
          <cell r="E38">
            <v>944</v>
          </cell>
          <cell r="F38">
            <v>1344</v>
          </cell>
          <cell r="G38">
            <v>1573</v>
          </cell>
          <cell r="H38">
            <v>432</v>
          </cell>
          <cell r="I38">
            <v>6936</v>
          </cell>
          <cell r="J38">
            <v>0</v>
          </cell>
        </row>
        <row r="39">
          <cell r="A39">
            <v>729</v>
          </cell>
          <cell r="B39" t="str">
            <v>BBVA  NASSAU</v>
          </cell>
          <cell r="C39">
            <v>3886</v>
          </cell>
          <cell r="D39">
            <v>5942</v>
          </cell>
          <cell r="J39">
            <v>0</v>
          </cell>
        </row>
        <row r="40">
          <cell r="A40">
            <v>997</v>
          </cell>
          <cell r="B40" t="str">
            <v>BBVA - TESORERIA</v>
          </cell>
          <cell r="C40">
            <v>433</v>
          </cell>
          <cell r="D40">
            <v>2019</v>
          </cell>
          <cell r="F40">
            <v>1344</v>
          </cell>
          <cell r="G40">
            <v>1573</v>
          </cell>
          <cell r="H40">
            <v>432</v>
          </cell>
          <cell r="I40">
            <v>6936</v>
          </cell>
          <cell r="J40">
            <v>0</v>
          </cell>
        </row>
        <row r="41">
          <cell r="A41">
            <v>1396</v>
          </cell>
          <cell r="B41" t="str">
            <v>BBVA - INSTRUMENTAL TESORERIA</v>
          </cell>
          <cell r="C41">
            <v>6650</v>
          </cell>
          <cell r="D41">
            <v>6628</v>
          </cell>
          <cell r="F41">
            <v>1344</v>
          </cell>
          <cell r="G41">
            <v>1573</v>
          </cell>
          <cell r="H41">
            <v>432</v>
          </cell>
          <cell r="I41">
            <v>6936</v>
          </cell>
          <cell r="J41">
            <v>0</v>
          </cell>
        </row>
        <row r="42">
          <cell r="A42">
            <v>1997</v>
          </cell>
          <cell r="B42" t="str">
            <v>BBVA - TESORERIA - CESIONES REPO</v>
          </cell>
          <cell r="C42">
            <v>6650</v>
          </cell>
          <cell r="D42">
            <v>6628</v>
          </cell>
          <cell r="J42">
            <v>0</v>
          </cell>
        </row>
        <row r="43">
          <cell r="A43">
            <v>2005</v>
          </cell>
          <cell r="B43" t="str">
            <v>BBVA - CARTERA ESTRATEGICA COAP</v>
          </cell>
          <cell r="C43">
            <v>6650</v>
          </cell>
          <cell r="D43">
            <v>6628</v>
          </cell>
          <cell r="J43">
            <v>0</v>
          </cell>
        </row>
        <row r="44">
          <cell r="A44">
            <v>3008</v>
          </cell>
          <cell r="B44" t="str">
            <v>BANCO DEL COMERCIO, S.A.</v>
          </cell>
          <cell r="C44">
            <v>6650</v>
          </cell>
          <cell r="D44">
            <v>6628</v>
          </cell>
          <cell r="J44">
            <v>3</v>
          </cell>
        </row>
        <row r="45">
          <cell r="A45">
            <v>3842</v>
          </cell>
          <cell r="B45" t="str">
            <v>FINANZIA, BANCO DE CREDITO, S.A.</v>
          </cell>
          <cell r="J45">
            <v>3</v>
          </cell>
        </row>
        <row r="46">
          <cell r="A46">
            <v>4119</v>
          </cell>
          <cell r="B46" t="str">
            <v>CARTERA INVERSION - COAP</v>
          </cell>
          <cell r="C46">
            <v>433</v>
          </cell>
          <cell r="D46">
            <v>2019</v>
          </cell>
          <cell r="F46">
            <v>1344</v>
          </cell>
          <cell r="G46">
            <v>1573</v>
          </cell>
          <cell r="H46">
            <v>432</v>
          </cell>
          <cell r="I46">
            <v>6936</v>
          </cell>
          <cell r="J46">
            <v>3</v>
          </cell>
        </row>
        <row r="47">
          <cell r="A47">
            <v>4500</v>
          </cell>
          <cell r="B47" t="str">
            <v>BANCA CATALANA, S.A.</v>
          </cell>
          <cell r="C47">
            <v>433</v>
          </cell>
          <cell r="D47">
            <v>2019</v>
          </cell>
          <cell r="F47">
            <v>1344</v>
          </cell>
          <cell r="G47">
            <v>1573</v>
          </cell>
          <cell r="H47">
            <v>432</v>
          </cell>
          <cell r="I47">
            <v>6936</v>
          </cell>
          <cell r="J47">
            <v>3</v>
          </cell>
        </row>
        <row r="48">
          <cell r="A48">
            <v>7760</v>
          </cell>
          <cell r="B48" t="str">
            <v>BBVA NUEVA YORK</v>
          </cell>
          <cell r="C48">
            <v>3886</v>
          </cell>
          <cell r="D48">
            <v>5942</v>
          </cell>
          <cell r="J48">
            <v>0</v>
          </cell>
        </row>
        <row r="49">
          <cell r="A49">
            <v>9851</v>
          </cell>
          <cell r="B49" t="str">
            <v>BBVA - COMPLEMENTO BANCA COMERCIAL</v>
          </cell>
          <cell r="C49">
            <v>3886</v>
          </cell>
          <cell r="D49">
            <v>5942</v>
          </cell>
          <cell r="J49">
            <v>0</v>
          </cell>
        </row>
        <row r="50">
          <cell r="A50">
            <v>9857</v>
          </cell>
          <cell r="B50" t="str">
            <v>BBVA - COMPLEMENTO BANCA INSTITUCIONAL</v>
          </cell>
          <cell r="J5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713"/>
      <sheetName val="713RF"/>
      <sheetName val="02524"/>
      <sheetName val="02524RF"/>
      <sheetName val="Bankcard Review 1201"/>
    </sheetNames>
    <sheetDataSet>
      <sheetData sheetId="0" refreshError="1">
        <row r="10">
          <cell r="E10" t="str">
            <v>Sun:</v>
          </cell>
        </row>
      </sheetData>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1601601"/>
      <sheetName val="931"/>
      <sheetName val="5520"/>
      <sheetName val="01129"/>
      <sheetName val="5022"/>
      <sheetName val="180"/>
      <sheetName val="01620"/>
      <sheetName val="711"/>
      <sheetName val="02524"/>
      <sheetName val="712"/>
      <sheetName val="835"/>
      <sheetName val="740"/>
      <sheetName val="745"/>
      <sheetName val="145"/>
      <sheetName val="135"/>
      <sheetName val="135 (2)"/>
      <sheetName val="713"/>
      <sheetName val="4502112"/>
      <sheetName val="02522"/>
      <sheetName val="1069"/>
      <sheetName val="DATOS"/>
      <sheetName val="BRAD_EQUITY_LOANS"/>
      <sheetName val="LOB Monthly Review Template"/>
    </sheetNames>
    <sheetDataSet>
      <sheetData sheetId="0" refreshError="1">
        <row r="10">
          <cell r="E10" t="str">
            <v>Sun: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dWhite"/>
      <sheetName val="Mac-RedWhite"/>
      <sheetName val="Statics"/>
      <sheetName val="Avg BS"/>
      <sheetName val="Inc Stmt"/>
      <sheetName val="Ratios"/>
      <sheetName val="Yld Rates YTD"/>
      <sheetName val="Yld Rates Month"/>
      <sheetName val="Investbkg"/>
      <sheetName val="Correspbkg"/>
      <sheetName val="Loan Analysis"/>
      <sheetName val="Bankcard,etc-BS-IS"/>
      <sheetName val="Bankcard,etc-Ratios"/>
      <sheetName val="Bankcard,etc-Yields"/>
      <sheetName val="Dealer Fin-BS-IS"/>
      <sheetName val="Dealer Fin-Ratios"/>
      <sheetName val="Dealer Fin-Yields"/>
      <sheetName val="Comm Bill-BS-IS"/>
      <sheetName val="Comm Bill-Ratios"/>
      <sheetName val="Comm Bill-Yields"/>
      <sheetName val="Prod-Cons"/>
      <sheetName val="Retail Inv Sales"/>
      <sheetName val="Red Rank"/>
      <sheetName val="White Rank Loans"/>
      <sheetName val="White Rank Deposits"/>
      <sheetName val="White Rank NII"/>
      <sheetName val="White Rank NIE"/>
      <sheetName val="White Rank NET NIE"/>
      <sheetName val="White Rank Pretax"/>
      <sheetName val="White Rank $ Margin"/>
      <sheetName val="White Rank Spread EA"/>
      <sheetName val="White Rank Spread Borr"/>
      <sheetName val="NII $ VAR"/>
      <sheetName val="NIE $ VAR"/>
      <sheetName val="Red Rank Mac"/>
      <sheetName val="White Rank Mac"/>
      <sheetName val="Hide Macs"/>
      <sheetName val="Module1"/>
      <sheetName val="QTRLY ROLLUP"/>
      <sheetName val="Daily Tracking"/>
      <sheetName val="Investment Tracking"/>
      <sheetName val="BCM_QTRLY"/>
      <sheetName val="CD's"/>
      <sheetName val="SAV&amp;MM"/>
      <sheetName val="Retention"/>
      <sheetName val="partnership"/>
      <sheetName val="RIS Goals"/>
      <sheetName val="OpLosses"/>
      <sheetName val="FTE"/>
      <sheetName val="Data"/>
      <sheetName val="MgmtRptDetail"/>
      <sheetName val="PrintOrder"/>
      <sheetName val="CONSEJ"/>
    </sheetNames>
    <sheetDataSet>
      <sheetData sheetId="0" refreshError="1"/>
      <sheetData sheetId="1" refreshError="1"/>
      <sheetData sheetId="2" refreshError="1"/>
      <sheetData sheetId="3" refreshError="1">
        <row r="42">
          <cell r="B42" t="str">
            <v>SC_TM1:stat-97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By Branch"/>
      <sheetName val="By Region"/>
      <sheetName val="Bank Total"/>
      <sheetName val="Regions Summary"/>
      <sheetName val="Product Summary"/>
      <sheetName val="To Presentation"/>
      <sheetName val="LoanCodes"/>
      <sheetName val="Branches"/>
      <sheetName val="MI-COMISIONES-ROF NEGOCIO"/>
      <sheetName val="Statics"/>
    </sheetNames>
    <sheetDataSet>
      <sheetData sheetId="0" refreshError="1">
        <row r="3">
          <cell r="A3">
            <v>39171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Input"/>
      <sheetName val="Retail"/>
      <sheetName val="Metro"/>
      <sheetName val="Bankcard"/>
      <sheetName val="Mortgage"/>
      <sheetName val="Small Business"/>
      <sheetName val="Dallas"/>
      <sheetName val="Houston"/>
      <sheetName val="J'ville"/>
      <sheetName val="Mobile"/>
      <sheetName val="Montgomery"/>
      <sheetName val="Huntsville"/>
      <sheetName val="B'ham"/>
      <sheetName val="San Antonio"/>
      <sheetName val="Community"/>
      <sheetName val="Scottsboro"/>
      <sheetName val="Oneonta"/>
      <sheetName val="Quad Cities"/>
      <sheetName val="Ft Payne"/>
      <sheetName val="Cullman"/>
      <sheetName val="Gadsden"/>
      <sheetName val="Decatur"/>
      <sheetName val="Athens"/>
      <sheetName val="Albertville"/>
      <sheetName val="Walker Co."/>
      <sheetName val="Calhoun Co."/>
      <sheetName val="Ft Walton"/>
      <sheetName val="Pensacola"/>
      <sheetName val="Baldwin Co."/>
      <sheetName val="Eufaula"/>
      <sheetName val="Tuscaloosa"/>
      <sheetName val="Dothan"/>
      <sheetName val="Auburn"/>
      <sheetName val="RetLn"/>
      <sheetName val="Recov"/>
      <sheetName val="(Multiple)"/>
      <sheetName val="Daily Report-March 1999"/>
      <sheetName val="Data"/>
      <sheetName val="Stat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 val="MONTHEND"/>
      <sheetName val="Total"/>
      <sheetName val="PrintOrder"/>
    </sheetNames>
    <sheetDataSet>
      <sheetData sheetId="0" refreshError="1">
        <row r="1">
          <cell r="A1" t="str">
            <v>acct</v>
          </cell>
          <cell r="B1" t="str">
            <v>acct_descr</v>
          </cell>
          <cell r="C1" t="str">
            <v>col_1_dec</v>
          </cell>
          <cell r="D1" t="str">
            <v>col_1_jan</v>
          </cell>
          <cell r="E1" t="str">
            <v>col_1_feb</v>
          </cell>
          <cell r="F1" t="str">
            <v>col_1_mar</v>
          </cell>
          <cell r="G1" t="str">
            <v>col_1_apr</v>
          </cell>
          <cell r="H1" t="str">
            <v>col_1_may</v>
          </cell>
          <cell r="I1" t="str">
            <v>col_1_jun</v>
          </cell>
          <cell r="J1" t="str">
            <v>col_1_jul</v>
          </cell>
          <cell r="K1" t="str">
            <v>col_1_aug</v>
          </cell>
          <cell r="L1" t="str">
            <v>col_1_sep</v>
          </cell>
          <cell r="M1" t="str">
            <v>col_1_oct</v>
          </cell>
          <cell r="N1" t="str">
            <v>col_1_nov</v>
          </cell>
          <cell r="O1" t="str">
            <v>col_1_dec</v>
          </cell>
          <cell r="P1" t="str">
            <v>col_2_jan</v>
          </cell>
          <cell r="Q1" t="str">
            <v>col_2_feb</v>
          </cell>
          <cell r="R1" t="str">
            <v>col_2_mar</v>
          </cell>
          <cell r="S1" t="str">
            <v>col_2_apr</v>
          </cell>
          <cell r="T1" t="str">
            <v>col_2_may</v>
          </cell>
          <cell r="U1" t="str">
            <v>col_2_jun</v>
          </cell>
          <cell r="V1" t="str">
            <v>col_2_jul</v>
          </cell>
          <cell r="W1" t="str">
            <v>col_2_aug</v>
          </cell>
          <cell r="X1" t="str">
            <v>col_2_sep</v>
          </cell>
          <cell r="Y1" t="str">
            <v>col_2_oct</v>
          </cell>
          <cell r="Z1" t="str">
            <v>col_2_nov</v>
          </cell>
          <cell r="AA1" t="str">
            <v>col_2_dec</v>
          </cell>
          <cell r="AB1" t="str">
            <v>col_3_jan</v>
          </cell>
          <cell r="AC1" t="str">
            <v>col_3_feb</v>
          </cell>
          <cell r="AD1" t="str">
            <v>col_3_mar</v>
          </cell>
          <cell r="AE1" t="str">
            <v>col_3_apr</v>
          </cell>
          <cell r="AF1" t="str">
            <v>col_3_may</v>
          </cell>
          <cell r="AG1" t="str">
            <v>col_3_jun</v>
          </cell>
          <cell r="AH1" t="str">
            <v>col_3_jul</v>
          </cell>
          <cell r="AI1" t="str">
            <v>col_3_aug</v>
          </cell>
          <cell r="AJ1" t="str">
            <v>col_3_sep</v>
          </cell>
          <cell r="AK1" t="str">
            <v>col_3_oct</v>
          </cell>
          <cell r="AL1" t="str">
            <v>col_3_nov</v>
          </cell>
          <cell r="AM1" t="str">
            <v>col_3_dec</v>
          </cell>
          <cell r="AN1" t="str">
            <v>col_4_jan</v>
          </cell>
          <cell r="AO1" t="str">
            <v>col_4_feb</v>
          </cell>
          <cell r="AP1" t="str">
            <v>col_4_mar</v>
          </cell>
          <cell r="AQ1" t="str">
            <v>col_4_apr</v>
          </cell>
          <cell r="AR1" t="str">
            <v>col_4_may</v>
          </cell>
          <cell r="AS1" t="str">
            <v>col_4_jun</v>
          </cell>
          <cell r="AT1" t="str">
            <v>col_4_jul</v>
          </cell>
          <cell r="AU1" t="str">
            <v>col_4_aug</v>
          </cell>
          <cell r="AV1" t="str">
            <v>col_4_sep</v>
          </cell>
          <cell r="AW1" t="str">
            <v>col_4_oct</v>
          </cell>
          <cell r="AX1" t="str">
            <v>col_4_nov</v>
          </cell>
        </row>
        <row r="2">
          <cell r="A2" t="str">
            <v>600250</v>
          </cell>
          <cell r="B2" t="str">
            <v xml:space="preserve">Personnel                               </v>
          </cell>
          <cell r="C2">
            <v>146037000</v>
          </cell>
          <cell r="D2">
            <v>136067830.97</v>
          </cell>
          <cell r="E2">
            <v>0</v>
          </cell>
          <cell r="F2">
            <v>0</v>
          </cell>
          <cell r="G2">
            <v>0</v>
          </cell>
          <cell r="H2">
            <v>0</v>
          </cell>
          <cell r="I2">
            <v>0</v>
          </cell>
          <cell r="J2">
            <v>0</v>
          </cell>
          <cell r="K2">
            <v>0</v>
          </cell>
          <cell r="L2">
            <v>0</v>
          </cell>
          <cell r="M2">
            <v>0</v>
          </cell>
          <cell r="N2">
            <v>0</v>
          </cell>
          <cell r="O2">
            <v>0</v>
          </cell>
          <cell r="P2">
            <v>136067830.97</v>
          </cell>
          <cell r="Q2">
            <v>0</v>
          </cell>
          <cell r="R2">
            <v>0</v>
          </cell>
          <cell r="S2">
            <v>0</v>
          </cell>
          <cell r="T2">
            <v>0</v>
          </cell>
          <cell r="U2">
            <v>0</v>
          </cell>
          <cell r="V2">
            <v>0</v>
          </cell>
          <cell r="W2">
            <v>0</v>
          </cell>
          <cell r="X2">
            <v>0</v>
          </cell>
          <cell r="Y2">
            <v>0</v>
          </cell>
          <cell r="Z2">
            <v>0</v>
          </cell>
          <cell r="AA2">
            <v>0</v>
          </cell>
          <cell r="AB2">
            <v>141553834.69999999</v>
          </cell>
          <cell r="AC2">
            <v>141265652.40000001</v>
          </cell>
          <cell r="AD2">
            <v>141531762.40000001</v>
          </cell>
          <cell r="AE2">
            <v>143910328.09999999</v>
          </cell>
          <cell r="AF2">
            <v>141287412.5</v>
          </cell>
          <cell r="AG2">
            <v>140188594.90000001</v>
          </cell>
          <cell r="AH2">
            <v>141122704.90000001</v>
          </cell>
          <cell r="AI2">
            <v>140439313.59999999</v>
          </cell>
          <cell r="AJ2">
            <v>139172406.09999999</v>
          </cell>
          <cell r="AK2">
            <v>137710765.30000001</v>
          </cell>
          <cell r="AL2">
            <v>136592628.40000001</v>
          </cell>
          <cell r="AM2">
            <v>136706408.40000001</v>
          </cell>
          <cell r="AN2">
            <v>141553834.69999999</v>
          </cell>
          <cell r="AO2">
            <v>282819487.10000002</v>
          </cell>
          <cell r="AP2">
            <v>424351249.5</v>
          </cell>
          <cell r="AQ2">
            <v>568261577.60000002</v>
          </cell>
          <cell r="AR2">
            <v>709548990.10000002</v>
          </cell>
          <cell r="AS2">
            <v>849737585</v>
          </cell>
          <cell r="AT2">
            <v>990860289.89999998</v>
          </cell>
          <cell r="AU2">
            <v>1131299603.5</v>
          </cell>
          <cell r="AV2">
            <v>1270472009.5999999</v>
          </cell>
          <cell r="AW2">
            <v>1408182774.9000001</v>
          </cell>
          <cell r="AX2">
            <v>1544775403.3</v>
          </cell>
        </row>
        <row r="3">
          <cell r="A3" t="str">
            <v>601000A</v>
          </cell>
          <cell r="B3" t="str">
            <v xml:space="preserve">Overtime Salaries                       </v>
          </cell>
          <cell r="C3">
            <v>2793000</v>
          </cell>
          <cell r="D3">
            <v>2946495.44</v>
          </cell>
          <cell r="E3">
            <v>0</v>
          </cell>
          <cell r="F3">
            <v>0</v>
          </cell>
          <cell r="G3">
            <v>0</v>
          </cell>
          <cell r="H3">
            <v>0</v>
          </cell>
          <cell r="I3">
            <v>0</v>
          </cell>
          <cell r="J3">
            <v>0</v>
          </cell>
          <cell r="K3">
            <v>0</v>
          </cell>
          <cell r="L3">
            <v>0</v>
          </cell>
          <cell r="M3">
            <v>0</v>
          </cell>
          <cell r="N3">
            <v>0</v>
          </cell>
          <cell r="O3">
            <v>0</v>
          </cell>
          <cell r="P3">
            <v>2946495.44</v>
          </cell>
          <cell r="Q3">
            <v>0</v>
          </cell>
          <cell r="R3">
            <v>0</v>
          </cell>
          <cell r="S3">
            <v>0</v>
          </cell>
          <cell r="T3">
            <v>0</v>
          </cell>
          <cell r="U3">
            <v>0</v>
          </cell>
          <cell r="V3">
            <v>0</v>
          </cell>
          <cell r="W3">
            <v>0</v>
          </cell>
          <cell r="X3">
            <v>0</v>
          </cell>
          <cell r="Y3">
            <v>0</v>
          </cell>
          <cell r="Z3">
            <v>0</v>
          </cell>
          <cell r="AA3">
            <v>0</v>
          </cell>
          <cell r="AB3">
            <v>1788000</v>
          </cell>
          <cell r="AC3">
            <v>1833000</v>
          </cell>
          <cell r="AD3">
            <v>1842000</v>
          </cell>
          <cell r="AE3">
            <v>1777000</v>
          </cell>
          <cell r="AF3">
            <v>1717000</v>
          </cell>
          <cell r="AG3">
            <v>1639000</v>
          </cell>
          <cell r="AH3">
            <v>1676000</v>
          </cell>
          <cell r="AI3">
            <v>1654000</v>
          </cell>
          <cell r="AJ3">
            <v>1656000</v>
          </cell>
          <cell r="AK3">
            <v>1634000</v>
          </cell>
          <cell r="AL3">
            <v>1672000</v>
          </cell>
          <cell r="AM3">
            <v>1730000</v>
          </cell>
          <cell r="AN3">
            <v>1788000</v>
          </cell>
          <cell r="AO3">
            <v>3621000</v>
          </cell>
          <cell r="AP3">
            <v>5463000</v>
          </cell>
          <cell r="AQ3">
            <v>7240000</v>
          </cell>
          <cell r="AR3">
            <v>8957000</v>
          </cell>
          <cell r="AS3">
            <v>10596000</v>
          </cell>
          <cell r="AT3">
            <v>12272000</v>
          </cell>
          <cell r="AU3">
            <v>13926000</v>
          </cell>
          <cell r="AV3">
            <v>15582000</v>
          </cell>
          <cell r="AW3">
            <v>17216000</v>
          </cell>
          <cell r="AX3">
            <v>18888000</v>
          </cell>
        </row>
        <row r="4">
          <cell r="A4" t="str">
            <v>602000A</v>
          </cell>
          <cell r="B4" t="str">
            <v xml:space="preserve">Contract Temporary                      </v>
          </cell>
          <cell r="C4">
            <v>9072000</v>
          </cell>
          <cell r="D4">
            <v>3205459.95</v>
          </cell>
          <cell r="E4">
            <v>0</v>
          </cell>
          <cell r="F4">
            <v>0</v>
          </cell>
          <cell r="G4">
            <v>0</v>
          </cell>
          <cell r="H4">
            <v>0</v>
          </cell>
          <cell r="I4">
            <v>0</v>
          </cell>
          <cell r="J4">
            <v>0</v>
          </cell>
          <cell r="K4">
            <v>0</v>
          </cell>
          <cell r="L4">
            <v>0</v>
          </cell>
          <cell r="M4">
            <v>0</v>
          </cell>
          <cell r="N4">
            <v>0</v>
          </cell>
          <cell r="O4">
            <v>0</v>
          </cell>
          <cell r="P4">
            <v>3205459.95</v>
          </cell>
          <cell r="Q4">
            <v>0</v>
          </cell>
          <cell r="R4">
            <v>0</v>
          </cell>
          <cell r="S4">
            <v>0</v>
          </cell>
          <cell r="T4">
            <v>0</v>
          </cell>
          <cell r="U4">
            <v>0</v>
          </cell>
          <cell r="V4">
            <v>0</v>
          </cell>
          <cell r="W4">
            <v>0</v>
          </cell>
          <cell r="X4">
            <v>0</v>
          </cell>
          <cell r="Y4">
            <v>0</v>
          </cell>
          <cell r="Z4">
            <v>0</v>
          </cell>
          <cell r="AA4">
            <v>0</v>
          </cell>
          <cell r="AB4">
            <v>6432080</v>
          </cell>
          <cell r="AC4">
            <v>5977080</v>
          </cell>
          <cell r="AD4">
            <v>6163080</v>
          </cell>
          <cell r="AE4">
            <v>7499080</v>
          </cell>
          <cell r="AF4">
            <v>5904080</v>
          </cell>
          <cell r="AG4">
            <v>5845080</v>
          </cell>
          <cell r="AH4">
            <v>5959080</v>
          </cell>
          <cell r="AI4">
            <v>5588080</v>
          </cell>
          <cell r="AJ4">
            <v>5216080</v>
          </cell>
          <cell r="AK4">
            <v>4793080</v>
          </cell>
          <cell r="AL4">
            <v>4750080</v>
          </cell>
          <cell r="AM4">
            <v>4928080</v>
          </cell>
          <cell r="AN4">
            <v>6432080</v>
          </cell>
          <cell r="AO4">
            <v>12409160</v>
          </cell>
          <cell r="AP4">
            <v>18572240</v>
          </cell>
          <cell r="AQ4">
            <v>26071320</v>
          </cell>
          <cell r="AR4">
            <v>31975400</v>
          </cell>
          <cell r="AS4">
            <v>37820480</v>
          </cell>
          <cell r="AT4">
            <v>43779560</v>
          </cell>
          <cell r="AU4">
            <v>49367640</v>
          </cell>
          <cell r="AV4">
            <v>54583720</v>
          </cell>
          <cell r="AW4">
            <v>59376800</v>
          </cell>
          <cell r="AX4">
            <v>64126880</v>
          </cell>
        </row>
        <row r="5">
          <cell r="A5" t="str">
            <v>610000</v>
          </cell>
          <cell r="B5" t="str">
            <v xml:space="preserve">Net Occupancy                           </v>
          </cell>
          <cell r="C5">
            <v>25682000</v>
          </cell>
          <cell r="D5">
            <v>28568359.09</v>
          </cell>
          <cell r="E5">
            <v>0</v>
          </cell>
          <cell r="F5">
            <v>0</v>
          </cell>
          <cell r="G5">
            <v>0</v>
          </cell>
          <cell r="H5">
            <v>0</v>
          </cell>
          <cell r="I5">
            <v>0</v>
          </cell>
          <cell r="J5">
            <v>0</v>
          </cell>
          <cell r="K5">
            <v>0</v>
          </cell>
          <cell r="L5">
            <v>0</v>
          </cell>
          <cell r="M5">
            <v>0</v>
          </cell>
          <cell r="N5">
            <v>0</v>
          </cell>
          <cell r="O5">
            <v>0</v>
          </cell>
          <cell r="P5">
            <v>28568359.09</v>
          </cell>
          <cell r="Q5">
            <v>0</v>
          </cell>
          <cell r="R5">
            <v>0</v>
          </cell>
          <cell r="S5">
            <v>0</v>
          </cell>
          <cell r="T5">
            <v>0</v>
          </cell>
          <cell r="U5">
            <v>0</v>
          </cell>
          <cell r="V5">
            <v>0</v>
          </cell>
          <cell r="W5">
            <v>0</v>
          </cell>
          <cell r="X5">
            <v>0</v>
          </cell>
          <cell r="Y5">
            <v>0</v>
          </cell>
          <cell r="Z5">
            <v>0</v>
          </cell>
          <cell r="AA5">
            <v>0</v>
          </cell>
          <cell r="AB5">
            <v>29103370</v>
          </cell>
          <cell r="AC5">
            <v>29198310</v>
          </cell>
          <cell r="AD5">
            <v>29120750</v>
          </cell>
          <cell r="AE5">
            <v>29438150</v>
          </cell>
          <cell r="AF5">
            <v>29099360</v>
          </cell>
          <cell r="AG5">
            <v>28935260</v>
          </cell>
          <cell r="AH5">
            <v>29022290</v>
          </cell>
          <cell r="AI5">
            <v>28669290</v>
          </cell>
          <cell r="AJ5">
            <v>28571950</v>
          </cell>
          <cell r="AK5">
            <v>28458950</v>
          </cell>
          <cell r="AL5">
            <v>28334950</v>
          </cell>
          <cell r="AM5">
            <v>28264880</v>
          </cell>
          <cell r="AN5">
            <v>29103370</v>
          </cell>
          <cell r="AO5">
            <v>58301680</v>
          </cell>
          <cell r="AP5">
            <v>87422430</v>
          </cell>
          <cell r="AQ5">
            <v>116860580</v>
          </cell>
          <cell r="AR5">
            <v>145959940</v>
          </cell>
          <cell r="AS5">
            <v>174895200</v>
          </cell>
          <cell r="AT5">
            <v>203917490</v>
          </cell>
          <cell r="AU5">
            <v>232586780</v>
          </cell>
          <cell r="AV5">
            <v>261158730</v>
          </cell>
          <cell r="AW5">
            <v>289617680</v>
          </cell>
          <cell r="AX5">
            <v>317952630</v>
          </cell>
        </row>
        <row r="6">
          <cell r="A6" t="str">
            <v>620000</v>
          </cell>
          <cell r="B6" t="str">
            <v xml:space="preserve">Furniture &amp; Equipment                   </v>
          </cell>
          <cell r="C6">
            <v>65859000</v>
          </cell>
          <cell r="D6">
            <v>54192257.549999997</v>
          </cell>
          <cell r="E6">
            <v>0</v>
          </cell>
          <cell r="F6">
            <v>0</v>
          </cell>
          <cell r="G6">
            <v>0</v>
          </cell>
          <cell r="H6">
            <v>0</v>
          </cell>
          <cell r="I6">
            <v>0</v>
          </cell>
          <cell r="J6">
            <v>0</v>
          </cell>
          <cell r="K6">
            <v>0</v>
          </cell>
          <cell r="L6">
            <v>0</v>
          </cell>
          <cell r="M6">
            <v>0</v>
          </cell>
          <cell r="N6">
            <v>0</v>
          </cell>
          <cell r="O6">
            <v>0</v>
          </cell>
          <cell r="P6">
            <v>54192257.549999997</v>
          </cell>
          <cell r="Q6">
            <v>0</v>
          </cell>
          <cell r="R6">
            <v>0</v>
          </cell>
          <cell r="S6">
            <v>0</v>
          </cell>
          <cell r="T6">
            <v>0</v>
          </cell>
          <cell r="U6">
            <v>0</v>
          </cell>
          <cell r="V6">
            <v>0</v>
          </cell>
          <cell r="W6">
            <v>0</v>
          </cell>
          <cell r="X6">
            <v>0</v>
          </cell>
          <cell r="Y6">
            <v>0</v>
          </cell>
          <cell r="Z6">
            <v>0</v>
          </cell>
          <cell r="AA6">
            <v>0</v>
          </cell>
          <cell r="AB6">
            <v>59083430</v>
          </cell>
          <cell r="AC6">
            <v>59346820</v>
          </cell>
          <cell r="AD6">
            <v>58157250</v>
          </cell>
          <cell r="AE6">
            <v>59733730</v>
          </cell>
          <cell r="AF6">
            <v>62474180</v>
          </cell>
          <cell r="AG6">
            <v>59949520</v>
          </cell>
          <cell r="AH6">
            <v>59059240</v>
          </cell>
          <cell r="AI6">
            <v>61858300</v>
          </cell>
          <cell r="AJ6">
            <v>57137350</v>
          </cell>
          <cell r="AK6">
            <v>58768060</v>
          </cell>
          <cell r="AL6">
            <v>59119520</v>
          </cell>
          <cell r="AM6">
            <v>56696210</v>
          </cell>
          <cell r="AN6">
            <v>59083430</v>
          </cell>
          <cell r="AO6">
            <v>118430250</v>
          </cell>
          <cell r="AP6">
            <v>176587500</v>
          </cell>
          <cell r="AQ6">
            <v>236321230</v>
          </cell>
          <cell r="AR6">
            <v>298795410</v>
          </cell>
          <cell r="AS6">
            <v>358744930</v>
          </cell>
          <cell r="AT6">
            <v>417804170</v>
          </cell>
          <cell r="AU6">
            <v>479662470</v>
          </cell>
          <cell r="AV6">
            <v>536799820</v>
          </cell>
          <cell r="AW6">
            <v>595567880</v>
          </cell>
          <cell r="AX6">
            <v>654687400</v>
          </cell>
        </row>
        <row r="7">
          <cell r="A7" t="str">
            <v>623000</v>
          </cell>
          <cell r="B7" t="str">
            <v xml:space="preserve">Marketing &amp; Promotional                 </v>
          </cell>
          <cell r="C7">
            <v>1555000</v>
          </cell>
          <cell r="D7">
            <v>555202.36</v>
          </cell>
          <cell r="E7">
            <v>0</v>
          </cell>
          <cell r="F7">
            <v>0</v>
          </cell>
          <cell r="G7">
            <v>0</v>
          </cell>
          <cell r="H7">
            <v>0</v>
          </cell>
          <cell r="I7">
            <v>0</v>
          </cell>
          <cell r="J7">
            <v>0</v>
          </cell>
          <cell r="K7">
            <v>0</v>
          </cell>
          <cell r="L7">
            <v>0</v>
          </cell>
          <cell r="M7">
            <v>0</v>
          </cell>
          <cell r="N7">
            <v>0</v>
          </cell>
          <cell r="O7">
            <v>0</v>
          </cell>
          <cell r="P7">
            <v>555202.36</v>
          </cell>
          <cell r="Q7">
            <v>0</v>
          </cell>
          <cell r="R7">
            <v>0</v>
          </cell>
          <cell r="S7">
            <v>0</v>
          </cell>
          <cell r="T7">
            <v>0</v>
          </cell>
          <cell r="U7">
            <v>0</v>
          </cell>
          <cell r="V7">
            <v>0</v>
          </cell>
          <cell r="W7">
            <v>0</v>
          </cell>
          <cell r="X7">
            <v>0</v>
          </cell>
          <cell r="Y7">
            <v>0</v>
          </cell>
          <cell r="Z7">
            <v>0</v>
          </cell>
          <cell r="AA7">
            <v>0</v>
          </cell>
          <cell r="AB7">
            <v>644000</v>
          </cell>
          <cell r="AC7">
            <v>741000</v>
          </cell>
          <cell r="AD7">
            <v>719500</v>
          </cell>
          <cell r="AE7">
            <v>726000</v>
          </cell>
          <cell r="AF7">
            <v>699000</v>
          </cell>
          <cell r="AG7">
            <v>721500</v>
          </cell>
          <cell r="AH7">
            <v>684000</v>
          </cell>
          <cell r="AI7">
            <v>698000</v>
          </cell>
          <cell r="AJ7">
            <v>610500</v>
          </cell>
          <cell r="AK7">
            <v>640000</v>
          </cell>
          <cell r="AL7">
            <v>596000</v>
          </cell>
          <cell r="AM7">
            <v>662500</v>
          </cell>
          <cell r="AN7">
            <v>644000</v>
          </cell>
          <cell r="AO7">
            <v>1385000</v>
          </cell>
          <cell r="AP7">
            <v>2104500</v>
          </cell>
          <cell r="AQ7">
            <v>2830500</v>
          </cell>
          <cell r="AR7">
            <v>3529500</v>
          </cell>
          <cell r="AS7">
            <v>4251000</v>
          </cell>
          <cell r="AT7">
            <v>4935000</v>
          </cell>
          <cell r="AU7">
            <v>5633000</v>
          </cell>
          <cell r="AV7">
            <v>6243500</v>
          </cell>
          <cell r="AW7">
            <v>6883500</v>
          </cell>
          <cell r="AX7">
            <v>7479500</v>
          </cell>
        </row>
        <row r="8">
          <cell r="A8" t="str">
            <v>630000</v>
          </cell>
          <cell r="B8" t="str">
            <v xml:space="preserve">Professional Fees                       </v>
          </cell>
          <cell r="C8">
            <v>10168000</v>
          </cell>
          <cell r="D8">
            <v>3403034.71</v>
          </cell>
          <cell r="E8">
            <v>0</v>
          </cell>
          <cell r="F8">
            <v>0</v>
          </cell>
          <cell r="G8">
            <v>0</v>
          </cell>
          <cell r="H8">
            <v>0</v>
          </cell>
          <cell r="I8">
            <v>0</v>
          </cell>
          <cell r="J8">
            <v>0</v>
          </cell>
          <cell r="K8">
            <v>0</v>
          </cell>
          <cell r="L8">
            <v>0</v>
          </cell>
          <cell r="M8">
            <v>0</v>
          </cell>
          <cell r="N8">
            <v>0</v>
          </cell>
          <cell r="O8">
            <v>0</v>
          </cell>
          <cell r="P8">
            <v>3403034.71</v>
          </cell>
          <cell r="Q8">
            <v>0</v>
          </cell>
          <cell r="R8">
            <v>0</v>
          </cell>
          <cell r="S8">
            <v>0</v>
          </cell>
          <cell r="T8">
            <v>0</v>
          </cell>
          <cell r="U8">
            <v>0</v>
          </cell>
          <cell r="V8">
            <v>0</v>
          </cell>
          <cell r="W8">
            <v>0</v>
          </cell>
          <cell r="X8">
            <v>0</v>
          </cell>
          <cell r="Y8">
            <v>0</v>
          </cell>
          <cell r="Z8">
            <v>0</v>
          </cell>
          <cell r="AA8">
            <v>0</v>
          </cell>
          <cell r="AB8">
            <v>8568420</v>
          </cell>
          <cell r="AC8">
            <v>7019420</v>
          </cell>
          <cell r="AD8">
            <v>7946420</v>
          </cell>
          <cell r="AE8">
            <v>7970090</v>
          </cell>
          <cell r="AF8">
            <v>7323090</v>
          </cell>
          <cell r="AG8">
            <v>7864090</v>
          </cell>
          <cell r="AH8">
            <v>7251090</v>
          </cell>
          <cell r="AI8">
            <v>6127090</v>
          </cell>
          <cell r="AJ8">
            <v>6155090</v>
          </cell>
          <cell r="AK8">
            <v>5506090</v>
          </cell>
          <cell r="AL8">
            <v>5163090</v>
          </cell>
          <cell r="AM8">
            <v>5472090</v>
          </cell>
          <cell r="AN8">
            <v>8568420</v>
          </cell>
          <cell r="AO8">
            <v>15587840</v>
          </cell>
          <cell r="AP8">
            <v>23534260</v>
          </cell>
          <cell r="AQ8">
            <v>31504350</v>
          </cell>
          <cell r="AR8">
            <v>38827440</v>
          </cell>
          <cell r="AS8">
            <v>46691530</v>
          </cell>
          <cell r="AT8">
            <v>53942620</v>
          </cell>
          <cell r="AU8">
            <v>60069710</v>
          </cell>
          <cell r="AV8">
            <v>66224800</v>
          </cell>
          <cell r="AW8">
            <v>71730890</v>
          </cell>
          <cell r="AX8">
            <v>76893980</v>
          </cell>
        </row>
        <row r="9">
          <cell r="A9" t="str">
            <v>650200</v>
          </cell>
          <cell r="B9" t="str">
            <v xml:space="preserve">Credit Card Expense                     </v>
          </cell>
          <cell r="C9">
            <v>-5000</v>
          </cell>
          <cell r="D9">
            <v>2659.18</v>
          </cell>
          <cell r="E9">
            <v>0</v>
          </cell>
          <cell r="F9">
            <v>0</v>
          </cell>
          <cell r="G9">
            <v>0</v>
          </cell>
          <cell r="H9">
            <v>0</v>
          </cell>
          <cell r="I9">
            <v>0</v>
          </cell>
          <cell r="J9">
            <v>0</v>
          </cell>
          <cell r="K9">
            <v>0</v>
          </cell>
          <cell r="L9">
            <v>0</v>
          </cell>
          <cell r="M9">
            <v>0</v>
          </cell>
          <cell r="N9">
            <v>0</v>
          </cell>
          <cell r="O9">
            <v>0</v>
          </cell>
          <cell r="P9">
            <v>2659.18</v>
          </cell>
          <cell r="Q9">
            <v>0</v>
          </cell>
          <cell r="R9">
            <v>0</v>
          </cell>
          <cell r="S9">
            <v>0</v>
          </cell>
          <cell r="T9">
            <v>0</v>
          </cell>
          <cell r="U9">
            <v>0</v>
          </cell>
          <cell r="V9">
            <v>0</v>
          </cell>
          <cell r="W9">
            <v>0</v>
          </cell>
          <cell r="X9">
            <v>0</v>
          </cell>
          <cell r="Y9">
            <v>0</v>
          </cell>
          <cell r="Z9">
            <v>0</v>
          </cell>
          <cell r="AA9">
            <v>0</v>
          </cell>
          <cell r="AB9">
            <v>1000</v>
          </cell>
          <cell r="AC9">
            <v>1000</v>
          </cell>
          <cell r="AD9">
            <v>2000</v>
          </cell>
          <cell r="AE9">
            <v>1000</v>
          </cell>
          <cell r="AF9">
            <v>1000</v>
          </cell>
          <cell r="AG9">
            <v>2000</v>
          </cell>
          <cell r="AH9">
            <v>1000</v>
          </cell>
          <cell r="AI9">
            <v>1000</v>
          </cell>
          <cell r="AJ9">
            <v>2000</v>
          </cell>
          <cell r="AK9">
            <v>1000</v>
          </cell>
          <cell r="AL9">
            <v>1000</v>
          </cell>
          <cell r="AM9">
            <v>2000</v>
          </cell>
          <cell r="AN9">
            <v>1000</v>
          </cell>
          <cell r="AO9">
            <v>2000</v>
          </cell>
          <cell r="AP9">
            <v>4000</v>
          </cell>
          <cell r="AQ9">
            <v>5000</v>
          </cell>
          <cell r="AR9">
            <v>6000</v>
          </cell>
          <cell r="AS9">
            <v>8000</v>
          </cell>
          <cell r="AT9">
            <v>9000</v>
          </cell>
          <cell r="AU9">
            <v>10000</v>
          </cell>
          <cell r="AV9">
            <v>12000</v>
          </cell>
          <cell r="AW9">
            <v>13000</v>
          </cell>
          <cell r="AX9">
            <v>14000</v>
          </cell>
        </row>
        <row r="10">
          <cell r="A10" t="str">
            <v>651500A</v>
          </cell>
          <cell r="B10" t="str">
            <v xml:space="preserve">Direct Processing Expense               </v>
          </cell>
          <cell r="C10">
            <v>30842000</v>
          </cell>
          <cell r="D10">
            <v>25497044.449999999</v>
          </cell>
          <cell r="E10">
            <v>0</v>
          </cell>
          <cell r="F10">
            <v>0</v>
          </cell>
          <cell r="G10">
            <v>0</v>
          </cell>
          <cell r="H10">
            <v>0</v>
          </cell>
          <cell r="I10">
            <v>0</v>
          </cell>
          <cell r="J10">
            <v>0</v>
          </cell>
          <cell r="K10">
            <v>0</v>
          </cell>
          <cell r="L10">
            <v>0</v>
          </cell>
          <cell r="M10">
            <v>0</v>
          </cell>
          <cell r="N10">
            <v>0</v>
          </cell>
          <cell r="O10">
            <v>0</v>
          </cell>
          <cell r="P10">
            <v>25497044.449999999</v>
          </cell>
          <cell r="Q10">
            <v>0</v>
          </cell>
          <cell r="R10">
            <v>0</v>
          </cell>
          <cell r="S10">
            <v>0</v>
          </cell>
          <cell r="T10">
            <v>0</v>
          </cell>
          <cell r="U10">
            <v>0</v>
          </cell>
          <cell r="V10">
            <v>0</v>
          </cell>
          <cell r="W10">
            <v>0</v>
          </cell>
          <cell r="X10">
            <v>0</v>
          </cell>
          <cell r="Y10">
            <v>0</v>
          </cell>
          <cell r="Z10">
            <v>0</v>
          </cell>
          <cell r="AA10">
            <v>0</v>
          </cell>
          <cell r="AB10">
            <v>33262080</v>
          </cell>
          <cell r="AC10">
            <v>26974250</v>
          </cell>
          <cell r="AD10">
            <v>27883300</v>
          </cell>
          <cell r="AE10">
            <v>27773870</v>
          </cell>
          <cell r="AF10">
            <v>27247400</v>
          </cell>
          <cell r="AG10">
            <v>27269470</v>
          </cell>
          <cell r="AH10">
            <v>29124880</v>
          </cell>
          <cell r="AI10">
            <v>25905270</v>
          </cell>
          <cell r="AJ10">
            <v>26119420</v>
          </cell>
          <cell r="AK10">
            <v>29349010</v>
          </cell>
          <cell r="AL10">
            <v>26609460</v>
          </cell>
          <cell r="AM10">
            <v>24407430</v>
          </cell>
          <cell r="AN10">
            <v>33262080</v>
          </cell>
          <cell r="AO10">
            <v>60236330</v>
          </cell>
          <cell r="AP10">
            <v>88119630</v>
          </cell>
          <cell r="AQ10">
            <v>115893500</v>
          </cell>
          <cell r="AR10">
            <v>143140900</v>
          </cell>
          <cell r="AS10">
            <v>170410370</v>
          </cell>
          <cell r="AT10">
            <v>199535250</v>
          </cell>
          <cell r="AU10">
            <v>225440520</v>
          </cell>
          <cell r="AV10">
            <v>251559940</v>
          </cell>
          <cell r="AW10">
            <v>280908950</v>
          </cell>
          <cell r="AX10">
            <v>307518410</v>
          </cell>
        </row>
        <row r="11">
          <cell r="A11" t="str">
            <v>653499A</v>
          </cell>
          <cell r="B11" t="str">
            <v xml:space="preserve">Programming Svc Chargeouts I/C          </v>
          </cell>
          <cell r="C11">
            <v>21976000</v>
          </cell>
          <cell r="D11">
            <v>22677986.469999999</v>
          </cell>
          <cell r="E11">
            <v>0</v>
          </cell>
          <cell r="F11">
            <v>0</v>
          </cell>
          <cell r="G11">
            <v>0</v>
          </cell>
          <cell r="H11">
            <v>0</v>
          </cell>
          <cell r="I11">
            <v>0</v>
          </cell>
          <cell r="J11">
            <v>0</v>
          </cell>
          <cell r="K11">
            <v>0</v>
          </cell>
          <cell r="L11">
            <v>0</v>
          </cell>
          <cell r="M11">
            <v>0</v>
          </cell>
          <cell r="N11">
            <v>0</v>
          </cell>
          <cell r="O11">
            <v>0</v>
          </cell>
          <cell r="P11">
            <v>22677986.469999999</v>
          </cell>
          <cell r="Q11">
            <v>0</v>
          </cell>
          <cell r="R11">
            <v>0</v>
          </cell>
          <cell r="S11">
            <v>0</v>
          </cell>
          <cell r="T11">
            <v>0</v>
          </cell>
          <cell r="U11">
            <v>0</v>
          </cell>
          <cell r="V11">
            <v>0</v>
          </cell>
          <cell r="W11">
            <v>0</v>
          </cell>
          <cell r="X11">
            <v>0</v>
          </cell>
          <cell r="Y11">
            <v>0</v>
          </cell>
          <cell r="Z11">
            <v>0</v>
          </cell>
          <cell r="AA11">
            <v>0</v>
          </cell>
          <cell r="AB11">
            <v>28250520</v>
          </cell>
          <cell r="AC11">
            <v>25357870</v>
          </cell>
          <cell r="AD11">
            <v>25022960</v>
          </cell>
          <cell r="AE11">
            <v>23792360</v>
          </cell>
          <cell r="AF11">
            <v>23458390</v>
          </cell>
          <cell r="AG11">
            <v>23169690</v>
          </cell>
          <cell r="AH11">
            <v>23274830</v>
          </cell>
          <cell r="AI11">
            <v>23754470</v>
          </cell>
          <cell r="AJ11">
            <v>23810220</v>
          </cell>
          <cell r="AK11">
            <v>23512760</v>
          </cell>
          <cell r="AL11">
            <v>23534660</v>
          </cell>
          <cell r="AM11">
            <v>25662150</v>
          </cell>
          <cell r="AN11">
            <v>28250520</v>
          </cell>
          <cell r="AO11">
            <v>53608390</v>
          </cell>
          <cell r="AP11">
            <v>78631350</v>
          </cell>
          <cell r="AQ11">
            <v>102423710</v>
          </cell>
          <cell r="AR11">
            <v>125882100</v>
          </cell>
          <cell r="AS11">
            <v>149051790</v>
          </cell>
          <cell r="AT11">
            <v>172326620</v>
          </cell>
          <cell r="AU11">
            <v>196081090</v>
          </cell>
          <cell r="AV11">
            <v>219891310</v>
          </cell>
          <cell r="AW11">
            <v>243404070</v>
          </cell>
          <cell r="AX11">
            <v>266938730</v>
          </cell>
        </row>
        <row r="12">
          <cell r="A12" t="str">
            <v>653499P</v>
          </cell>
          <cell r="B12" t="str">
            <v xml:space="preserve">Project Svc Chargeouts I/C              </v>
          </cell>
          <cell r="C12">
            <v>15158000</v>
          </cell>
          <cell r="D12">
            <v>5066047</v>
          </cell>
          <cell r="E12">
            <v>0</v>
          </cell>
          <cell r="F12">
            <v>0</v>
          </cell>
          <cell r="G12">
            <v>0</v>
          </cell>
          <cell r="H12">
            <v>0</v>
          </cell>
          <cell r="I12">
            <v>0</v>
          </cell>
          <cell r="J12">
            <v>0</v>
          </cell>
          <cell r="K12">
            <v>0</v>
          </cell>
          <cell r="L12">
            <v>0</v>
          </cell>
          <cell r="M12">
            <v>0</v>
          </cell>
          <cell r="N12">
            <v>0</v>
          </cell>
          <cell r="O12">
            <v>0</v>
          </cell>
          <cell r="P12">
            <v>5066047</v>
          </cell>
          <cell r="Q12">
            <v>0</v>
          </cell>
          <cell r="R12">
            <v>0</v>
          </cell>
          <cell r="S12">
            <v>0</v>
          </cell>
          <cell r="T12">
            <v>0</v>
          </cell>
          <cell r="U12">
            <v>0</v>
          </cell>
          <cell r="V12">
            <v>0</v>
          </cell>
          <cell r="W12">
            <v>0</v>
          </cell>
          <cell r="X12">
            <v>0</v>
          </cell>
          <cell r="Y12">
            <v>0</v>
          </cell>
          <cell r="Z12">
            <v>0</v>
          </cell>
          <cell r="AA12">
            <v>0</v>
          </cell>
          <cell r="AB12">
            <v>6680760</v>
          </cell>
          <cell r="AC12">
            <v>6319380</v>
          </cell>
          <cell r="AD12">
            <v>6245870</v>
          </cell>
          <cell r="AE12">
            <v>5958330</v>
          </cell>
          <cell r="AF12">
            <v>5620800</v>
          </cell>
          <cell r="AG12">
            <v>5668950</v>
          </cell>
          <cell r="AH12">
            <v>5565970</v>
          </cell>
          <cell r="AI12">
            <v>5278630</v>
          </cell>
          <cell r="AJ12">
            <v>5465150</v>
          </cell>
          <cell r="AK12">
            <v>5298560</v>
          </cell>
          <cell r="AL12">
            <v>4918330</v>
          </cell>
          <cell r="AM12">
            <v>4892880</v>
          </cell>
          <cell r="AN12">
            <v>6680760</v>
          </cell>
          <cell r="AO12">
            <v>13000140</v>
          </cell>
          <cell r="AP12">
            <v>19246010</v>
          </cell>
          <cell r="AQ12">
            <v>25204340</v>
          </cell>
          <cell r="AR12">
            <v>30825140</v>
          </cell>
          <cell r="AS12">
            <v>36494090</v>
          </cell>
          <cell r="AT12">
            <v>42060060</v>
          </cell>
          <cell r="AU12">
            <v>47338690</v>
          </cell>
          <cell r="AV12">
            <v>52803840</v>
          </cell>
          <cell r="AW12">
            <v>58102400</v>
          </cell>
          <cell r="AX12">
            <v>63020730</v>
          </cell>
        </row>
        <row r="13">
          <cell r="A13" t="str">
            <v>660025A</v>
          </cell>
          <cell r="B13" t="str">
            <v xml:space="preserve">Telecommunications - Direct             </v>
          </cell>
          <cell r="C13">
            <v>39751000</v>
          </cell>
          <cell r="D13">
            <v>32199649.449999999</v>
          </cell>
          <cell r="E13">
            <v>0</v>
          </cell>
          <cell r="F13">
            <v>0</v>
          </cell>
          <cell r="G13">
            <v>0</v>
          </cell>
          <cell r="H13">
            <v>0</v>
          </cell>
          <cell r="I13">
            <v>0</v>
          </cell>
          <cell r="J13">
            <v>0</v>
          </cell>
          <cell r="K13">
            <v>0</v>
          </cell>
          <cell r="L13">
            <v>0</v>
          </cell>
          <cell r="M13">
            <v>0</v>
          </cell>
          <cell r="N13">
            <v>0</v>
          </cell>
          <cell r="O13">
            <v>0</v>
          </cell>
          <cell r="P13">
            <v>32199649.449999999</v>
          </cell>
          <cell r="Q13">
            <v>0</v>
          </cell>
          <cell r="R13">
            <v>0</v>
          </cell>
          <cell r="S13">
            <v>0</v>
          </cell>
          <cell r="T13">
            <v>0</v>
          </cell>
          <cell r="U13">
            <v>0</v>
          </cell>
          <cell r="V13">
            <v>0</v>
          </cell>
          <cell r="W13">
            <v>0</v>
          </cell>
          <cell r="X13">
            <v>0</v>
          </cell>
          <cell r="Y13">
            <v>0</v>
          </cell>
          <cell r="Z13">
            <v>0</v>
          </cell>
          <cell r="AA13">
            <v>0</v>
          </cell>
          <cell r="AB13">
            <v>36888940</v>
          </cell>
          <cell r="AC13">
            <v>39942180</v>
          </cell>
          <cell r="AD13">
            <v>40223180</v>
          </cell>
          <cell r="AE13">
            <v>40082180</v>
          </cell>
          <cell r="AF13">
            <v>40391150</v>
          </cell>
          <cell r="AG13">
            <v>40095150</v>
          </cell>
          <cell r="AH13">
            <v>40350150</v>
          </cell>
          <cell r="AI13">
            <v>40248150</v>
          </cell>
          <cell r="AJ13">
            <v>40446410</v>
          </cell>
          <cell r="AK13">
            <v>40432410</v>
          </cell>
          <cell r="AL13">
            <v>40409410</v>
          </cell>
          <cell r="AM13">
            <v>40391430</v>
          </cell>
          <cell r="AN13">
            <v>36888940</v>
          </cell>
          <cell r="AO13">
            <v>76831120</v>
          </cell>
          <cell r="AP13">
            <v>117054300</v>
          </cell>
          <cell r="AQ13">
            <v>157136480</v>
          </cell>
          <cell r="AR13">
            <v>197527630</v>
          </cell>
          <cell r="AS13">
            <v>237622780</v>
          </cell>
          <cell r="AT13">
            <v>277972930</v>
          </cell>
          <cell r="AU13">
            <v>318221080</v>
          </cell>
          <cell r="AV13">
            <v>358667490</v>
          </cell>
          <cell r="AW13">
            <v>399099900</v>
          </cell>
          <cell r="AX13">
            <v>439509310</v>
          </cell>
        </row>
        <row r="14">
          <cell r="A14" t="str">
            <v>660705A</v>
          </cell>
          <cell r="B14" t="str">
            <v xml:space="preserve">Telecomm Chargeouts I/C                 </v>
          </cell>
          <cell r="C14">
            <v>11132000</v>
          </cell>
          <cell r="D14">
            <v>15485905.800000001</v>
          </cell>
          <cell r="E14">
            <v>0</v>
          </cell>
          <cell r="F14">
            <v>0</v>
          </cell>
          <cell r="G14">
            <v>0</v>
          </cell>
          <cell r="H14">
            <v>0</v>
          </cell>
          <cell r="I14">
            <v>0</v>
          </cell>
          <cell r="J14">
            <v>0</v>
          </cell>
          <cell r="K14">
            <v>0</v>
          </cell>
          <cell r="L14">
            <v>0</v>
          </cell>
          <cell r="M14">
            <v>0</v>
          </cell>
          <cell r="N14">
            <v>0</v>
          </cell>
          <cell r="O14">
            <v>0</v>
          </cell>
          <cell r="P14">
            <v>15485905.800000001</v>
          </cell>
          <cell r="Q14">
            <v>0</v>
          </cell>
          <cell r="R14">
            <v>0</v>
          </cell>
          <cell r="S14">
            <v>0</v>
          </cell>
          <cell r="T14">
            <v>0</v>
          </cell>
          <cell r="U14">
            <v>0</v>
          </cell>
          <cell r="V14">
            <v>0</v>
          </cell>
          <cell r="W14">
            <v>0</v>
          </cell>
          <cell r="X14">
            <v>0</v>
          </cell>
          <cell r="Y14">
            <v>0</v>
          </cell>
          <cell r="Z14">
            <v>0</v>
          </cell>
          <cell r="AA14">
            <v>0</v>
          </cell>
          <cell r="AB14">
            <v>13838920</v>
          </cell>
          <cell r="AC14">
            <v>13885920</v>
          </cell>
          <cell r="AD14">
            <v>13940920</v>
          </cell>
          <cell r="AE14">
            <v>13965270</v>
          </cell>
          <cell r="AF14">
            <v>13979270</v>
          </cell>
          <cell r="AG14">
            <v>13994270</v>
          </cell>
          <cell r="AH14">
            <v>14017620</v>
          </cell>
          <cell r="AI14">
            <v>14037620</v>
          </cell>
          <cell r="AJ14">
            <v>14031620</v>
          </cell>
          <cell r="AK14">
            <v>14061620</v>
          </cell>
          <cell r="AL14">
            <v>14041620</v>
          </cell>
          <cell r="AM14">
            <v>13986620</v>
          </cell>
          <cell r="AN14">
            <v>13838920</v>
          </cell>
          <cell r="AO14">
            <v>27724840</v>
          </cell>
          <cell r="AP14">
            <v>41665760</v>
          </cell>
          <cell r="AQ14">
            <v>55631030</v>
          </cell>
          <cell r="AR14">
            <v>69610300</v>
          </cell>
          <cell r="AS14">
            <v>83604570</v>
          </cell>
          <cell r="AT14">
            <v>97622190</v>
          </cell>
          <cell r="AU14">
            <v>111659810</v>
          </cell>
          <cell r="AV14">
            <v>125691430</v>
          </cell>
          <cell r="AW14">
            <v>139753050</v>
          </cell>
          <cell r="AX14">
            <v>153794670</v>
          </cell>
        </row>
        <row r="15">
          <cell r="A15" t="str">
            <v>663000A</v>
          </cell>
          <cell r="B15" t="str">
            <v xml:space="preserve">Supplies                                </v>
          </cell>
          <cell r="C15">
            <v>8666000</v>
          </cell>
          <cell r="D15">
            <v>6475346.21</v>
          </cell>
          <cell r="E15">
            <v>0</v>
          </cell>
          <cell r="F15">
            <v>0</v>
          </cell>
          <cell r="G15">
            <v>0</v>
          </cell>
          <cell r="H15">
            <v>0</v>
          </cell>
          <cell r="I15">
            <v>0</v>
          </cell>
          <cell r="J15">
            <v>0</v>
          </cell>
          <cell r="K15">
            <v>0</v>
          </cell>
          <cell r="L15">
            <v>0</v>
          </cell>
          <cell r="M15">
            <v>0</v>
          </cell>
          <cell r="N15">
            <v>0</v>
          </cell>
          <cell r="O15">
            <v>0</v>
          </cell>
          <cell r="P15">
            <v>6475346.21</v>
          </cell>
          <cell r="Q15">
            <v>0</v>
          </cell>
          <cell r="R15">
            <v>0</v>
          </cell>
          <cell r="S15">
            <v>0</v>
          </cell>
          <cell r="T15">
            <v>0</v>
          </cell>
          <cell r="U15">
            <v>0</v>
          </cell>
          <cell r="V15">
            <v>0</v>
          </cell>
          <cell r="W15">
            <v>0</v>
          </cell>
          <cell r="X15">
            <v>0</v>
          </cell>
          <cell r="Y15">
            <v>0</v>
          </cell>
          <cell r="Z15">
            <v>0</v>
          </cell>
          <cell r="AA15">
            <v>0</v>
          </cell>
          <cell r="AB15">
            <v>7626850</v>
          </cell>
          <cell r="AC15">
            <v>7704850</v>
          </cell>
          <cell r="AD15">
            <v>7985850</v>
          </cell>
          <cell r="AE15">
            <v>7623050</v>
          </cell>
          <cell r="AF15">
            <v>7137050</v>
          </cell>
          <cell r="AG15">
            <v>7364050</v>
          </cell>
          <cell r="AH15">
            <v>7086420</v>
          </cell>
          <cell r="AI15">
            <v>6408620</v>
          </cell>
          <cell r="AJ15">
            <v>6783620</v>
          </cell>
          <cell r="AK15">
            <v>6580420</v>
          </cell>
          <cell r="AL15">
            <v>6542420</v>
          </cell>
          <cell r="AM15">
            <v>6642620</v>
          </cell>
          <cell r="AN15">
            <v>7626850</v>
          </cell>
          <cell r="AO15">
            <v>15331700</v>
          </cell>
          <cell r="AP15">
            <v>23317550</v>
          </cell>
          <cell r="AQ15">
            <v>30940600</v>
          </cell>
          <cell r="AR15">
            <v>38077650</v>
          </cell>
          <cell r="AS15">
            <v>45441700</v>
          </cell>
          <cell r="AT15">
            <v>52528120</v>
          </cell>
          <cell r="AU15">
            <v>58936740</v>
          </cell>
          <cell r="AV15">
            <v>65720360</v>
          </cell>
          <cell r="AW15">
            <v>72300780</v>
          </cell>
          <cell r="AX15">
            <v>78843200</v>
          </cell>
        </row>
        <row r="16">
          <cell r="A16" t="str">
            <v>664500A</v>
          </cell>
          <cell r="B16" t="str">
            <v xml:space="preserve">Postage                                 </v>
          </cell>
          <cell r="C16">
            <v>12455000</v>
          </cell>
          <cell r="D16">
            <v>12586987.539999999</v>
          </cell>
          <cell r="E16">
            <v>0</v>
          </cell>
          <cell r="F16">
            <v>0</v>
          </cell>
          <cell r="G16">
            <v>0</v>
          </cell>
          <cell r="H16">
            <v>0</v>
          </cell>
          <cell r="I16">
            <v>0</v>
          </cell>
          <cell r="J16">
            <v>0</v>
          </cell>
          <cell r="K16">
            <v>0</v>
          </cell>
          <cell r="L16">
            <v>0</v>
          </cell>
          <cell r="M16">
            <v>0</v>
          </cell>
          <cell r="N16">
            <v>0</v>
          </cell>
          <cell r="O16">
            <v>0</v>
          </cell>
          <cell r="P16">
            <v>12586987.539999999</v>
          </cell>
          <cell r="Q16">
            <v>0</v>
          </cell>
          <cell r="R16">
            <v>0</v>
          </cell>
          <cell r="S16">
            <v>0</v>
          </cell>
          <cell r="T16">
            <v>0</v>
          </cell>
          <cell r="U16">
            <v>0</v>
          </cell>
          <cell r="V16">
            <v>0</v>
          </cell>
          <cell r="W16">
            <v>0</v>
          </cell>
          <cell r="X16">
            <v>0</v>
          </cell>
          <cell r="Y16">
            <v>0</v>
          </cell>
          <cell r="Z16">
            <v>0</v>
          </cell>
          <cell r="AA16">
            <v>0</v>
          </cell>
          <cell r="AB16">
            <v>12513940</v>
          </cell>
          <cell r="AC16">
            <v>11461940</v>
          </cell>
          <cell r="AD16">
            <v>11404940</v>
          </cell>
          <cell r="AE16">
            <v>12638940</v>
          </cell>
          <cell r="AF16">
            <v>11506920</v>
          </cell>
          <cell r="AG16">
            <v>11499920</v>
          </cell>
          <cell r="AH16">
            <v>12714920</v>
          </cell>
          <cell r="AI16">
            <v>11502920</v>
          </cell>
          <cell r="AJ16">
            <v>11695250</v>
          </cell>
          <cell r="AK16">
            <v>12648250</v>
          </cell>
          <cell r="AL16">
            <v>11590250</v>
          </cell>
          <cell r="AM16">
            <v>11597250</v>
          </cell>
          <cell r="AN16">
            <v>12513940</v>
          </cell>
          <cell r="AO16">
            <v>23975880</v>
          </cell>
          <cell r="AP16">
            <v>35380820</v>
          </cell>
          <cell r="AQ16">
            <v>48019760</v>
          </cell>
          <cell r="AR16">
            <v>59526680</v>
          </cell>
          <cell r="AS16">
            <v>71026600</v>
          </cell>
          <cell r="AT16">
            <v>83741520</v>
          </cell>
          <cell r="AU16">
            <v>95244440</v>
          </cell>
          <cell r="AV16">
            <v>106939690</v>
          </cell>
          <cell r="AW16">
            <v>119587940</v>
          </cell>
          <cell r="AX16">
            <v>131178190</v>
          </cell>
        </row>
        <row r="17">
          <cell r="A17" t="str">
            <v>665499A</v>
          </cell>
          <cell r="B17" t="str">
            <v xml:space="preserve">All Other General Operating             </v>
          </cell>
          <cell r="C17">
            <v>10886000</v>
          </cell>
          <cell r="D17">
            <v>2476956.85</v>
          </cell>
          <cell r="E17">
            <v>0</v>
          </cell>
          <cell r="F17">
            <v>0</v>
          </cell>
          <cell r="G17">
            <v>0</v>
          </cell>
          <cell r="H17">
            <v>0</v>
          </cell>
          <cell r="I17">
            <v>0</v>
          </cell>
          <cell r="J17">
            <v>0</v>
          </cell>
          <cell r="K17">
            <v>0</v>
          </cell>
          <cell r="L17">
            <v>0</v>
          </cell>
          <cell r="M17">
            <v>0</v>
          </cell>
          <cell r="N17">
            <v>0</v>
          </cell>
          <cell r="O17">
            <v>0</v>
          </cell>
          <cell r="P17">
            <v>2476956.85</v>
          </cell>
          <cell r="Q17">
            <v>0</v>
          </cell>
          <cell r="R17">
            <v>0</v>
          </cell>
          <cell r="S17">
            <v>0</v>
          </cell>
          <cell r="T17">
            <v>0</v>
          </cell>
          <cell r="U17">
            <v>0</v>
          </cell>
          <cell r="V17">
            <v>0</v>
          </cell>
          <cell r="W17">
            <v>0</v>
          </cell>
          <cell r="X17">
            <v>0</v>
          </cell>
          <cell r="Y17">
            <v>0</v>
          </cell>
          <cell r="Z17">
            <v>0</v>
          </cell>
          <cell r="AA17">
            <v>0</v>
          </cell>
          <cell r="AB17">
            <v>2007350</v>
          </cell>
          <cell r="AC17">
            <v>576190</v>
          </cell>
          <cell r="AD17">
            <v>-292570</v>
          </cell>
          <cell r="AE17">
            <v>830790</v>
          </cell>
          <cell r="AF17">
            <v>2428360</v>
          </cell>
          <cell r="AG17">
            <v>501040</v>
          </cell>
          <cell r="AH17">
            <v>1564360</v>
          </cell>
          <cell r="AI17">
            <v>-2435400</v>
          </cell>
          <cell r="AJ17">
            <v>-5910</v>
          </cell>
          <cell r="AK17">
            <v>-2834790</v>
          </cell>
          <cell r="AL17">
            <v>-7199790</v>
          </cell>
          <cell r="AM17">
            <v>-1502710</v>
          </cell>
          <cell r="AN17">
            <v>2007350</v>
          </cell>
          <cell r="AO17">
            <v>2583540</v>
          </cell>
          <cell r="AP17">
            <v>2290970</v>
          </cell>
          <cell r="AQ17">
            <v>3121760</v>
          </cell>
          <cell r="AR17">
            <v>5550120</v>
          </cell>
          <cell r="AS17">
            <v>6051160</v>
          </cell>
          <cell r="AT17">
            <v>7615520</v>
          </cell>
          <cell r="AU17">
            <v>5180120</v>
          </cell>
          <cell r="AV17">
            <v>5174210</v>
          </cell>
          <cell r="AW17">
            <v>2339420</v>
          </cell>
          <cell r="AX17">
            <v>-4860370</v>
          </cell>
        </row>
        <row r="18">
          <cell r="A18" t="str">
            <v>670000</v>
          </cell>
          <cell r="B18" t="str">
            <v xml:space="preserve">General Administrative                  </v>
          </cell>
          <cell r="C18">
            <v>7182000</v>
          </cell>
          <cell r="D18">
            <v>2767892.18</v>
          </cell>
          <cell r="E18">
            <v>0</v>
          </cell>
          <cell r="F18">
            <v>0</v>
          </cell>
          <cell r="G18">
            <v>0</v>
          </cell>
          <cell r="H18">
            <v>0</v>
          </cell>
          <cell r="I18">
            <v>0</v>
          </cell>
          <cell r="J18">
            <v>0</v>
          </cell>
          <cell r="K18">
            <v>0</v>
          </cell>
          <cell r="L18">
            <v>0</v>
          </cell>
          <cell r="M18">
            <v>0</v>
          </cell>
          <cell r="N18">
            <v>0</v>
          </cell>
          <cell r="O18">
            <v>0</v>
          </cell>
          <cell r="P18">
            <v>2767892.18</v>
          </cell>
          <cell r="Q18">
            <v>0</v>
          </cell>
          <cell r="R18">
            <v>0</v>
          </cell>
          <cell r="S18">
            <v>0</v>
          </cell>
          <cell r="T18">
            <v>0</v>
          </cell>
          <cell r="U18">
            <v>0</v>
          </cell>
          <cell r="V18">
            <v>0</v>
          </cell>
          <cell r="W18">
            <v>0</v>
          </cell>
          <cell r="X18">
            <v>0</v>
          </cell>
          <cell r="Y18">
            <v>0</v>
          </cell>
          <cell r="Z18">
            <v>0</v>
          </cell>
          <cell r="AA18">
            <v>0</v>
          </cell>
          <cell r="AB18">
            <v>5463120</v>
          </cell>
          <cell r="AC18">
            <v>5750320</v>
          </cell>
          <cell r="AD18">
            <v>5921770</v>
          </cell>
          <cell r="AE18">
            <v>5548390</v>
          </cell>
          <cell r="AF18">
            <v>5453780</v>
          </cell>
          <cell r="AG18">
            <v>5426780</v>
          </cell>
          <cell r="AH18">
            <v>5370190</v>
          </cell>
          <cell r="AI18">
            <v>4904190</v>
          </cell>
          <cell r="AJ18">
            <v>4844420</v>
          </cell>
          <cell r="AK18">
            <v>4795420</v>
          </cell>
          <cell r="AL18">
            <v>4589420</v>
          </cell>
          <cell r="AM18">
            <v>4619420</v>
          </cell>
          <cell r="AN18">
            <v>5463120</v>
          </cell>
          <cell r="AO18">
            <v>11213440</v>
          </cell>
          <cell r="AP18">
            <v>17135210</v>
          </cell>
          <cell r="AQ18">
            <v>22683600</v>
          </cell>
          <cell r="AR18">
            <v>28137380</v>
          </cell>
          <cell r="AS18">
            <v>33564160</v>
          </cell>
          <cell r="AT18">
            <v>38934350</v>
          </cell>
          <cell r="AU18">
            <v>43838540</v>
          </cell>
          <cell r="AV18">
            <v>48682960</v>
          </cell>
          <cell r="AW18">
            <v>53478380</v>
          </cell>
          <cell r="AX18">
            <v>58067800</v>
          </cell>
        </row>
        <row r="19">
          <cell r="A19" t="str">
            <v>670200A</v>
          </cell>
          <cell r="B19" t="str">
            <v xml:space="preserve">Travel                                  </v>
          </cell>
          <cell r="C19">
            <v>5874000</v>
          </cell>
          <cell r="D19">
            <v>2238024.73</v>
          </cell>
          <cell r="E19">
            <v>0</v>
          </cell>
          <cell r="F19">
            <v>0</v>
          </cell>
          <cell r="G19">
            <v>0</v>
          </cell>
          <cell r="H19">
            <v>0</v>
          </cell>
          <cell r="I19">
            <v>0</v>
          </cell>
          <cell r="J19">
            <v>0</v>
          </cell>
          <cell r="K19">
            <v>0</v>
          </cell>
          <cell r="L19">
            <v>0</v>
          </cell>
          <cell r="M19">
            <v>0</v>
          </cell>
          <cell r="N19">
            <v>0</v>
          </cell>
          <cell r="O19">
            <v>0</v>
          </cell>
          <cell r="P19">
            <v>2238024.73</v>
          </cell>
          <cell r="Q19">
            <v>0</v>
          </cell>
          <cell r="R19">
            <v>0</v>
          </cell>
          <cell r="S19">
            <v>0</v>
          </cell>
          <cell r="T19">
            <v>0</v>
          </cell>
          <cell r="U19">
            <v>0</v>
          </cell>
          <cell r="V19">
            <v>0</v>
          </cell>
          <cell r="W19">
            <v>0</v>
          </cell>
          <cell r="X19">
            <v>0</v>
          </cell>
          <cell r="Y19">
            <v>0</v>
          </cell>
          <cell r="Z19">
            <v>0</v>
          </cell>
          <cell r="AA19">
            <v>0</v>
          </cell>
          <cell r="AB19">
            <v>4068940</v>
          </cell>
          <cell r="AC19">
            <v>4325140</v>
          </cell>
          <cell r="AD19">
            <v>4442200</v>
          </cell>
          <cell r="AE19">
            <v>4332820</v>
          </cell>
          <cell r="AF19">
            <v>4257210</v>
          </cell>
          <cell r="AG19">
            <v>4222210</v>
          </cell>
          <cell r="AH19">
            <v>4182620</v>
          </cell>
          <cell r="AI19">
            <v>3879620</v>
          </cell>
          <cell r="AJ19">
            <v>3896850</v>
          </cell>
          <cell r="AK19">
            <v>3880850</v>
          </cell>
          <cell r="AL19">
            <v>3763850</v>
          </cell>
          <cell r="AM19">
            <v>3757850</v>
          </cell>
          <cell r="AN19">
            <v>4068940</v>
          </cell>
          <cell r="AO19">
            <v>8394080</v>
          </cell>
          <cell r="AP19">
            <v>12836280</v>
          </cell>
          <cell r="AQ19">
            <v>17169100</v>
          </cell>
          <cell r="AR19">
            <v>21426310</v>
          </cell>
          <cell r="AS19">
            <v>25648520</v>
          </cell>
          <cell r="AT19">
            <v>29831140</v>
          </cell>
          <cell r="AU19">
            <v>33710760</v>
          </cell>
          <cell r="AV19">
            <v>37607610</v>
          </cell>
          <cell r="AW19">
            <v>41488460</v>
          </cell>
          <cell r="AX19">
            <v>45252310</v>
          </cell>
        </row>
        <row r="20">
          <cell r="A20" t="str">
            <v>675000</v>
          </cell>
          <cell r="B20" t="str">
            <v xml:space="preserve">Intercompany Expense                    </v>
          </cell>
          <cell r="C20">
            <v>496000</v>
          </cell>
          <cell r="D20">
            <v>-176245.54</v>
          </cell>
          <cell r="E20">
            <v>0</v>
          </cell>
          <cell r="F20">
            <v>0</v>
          </cell>
          <cell r="G20">
            <v>0</v>
          </cell>
          <cell r="H20">
            <v>0</v>
          </cell>
          <cell r="I20">
            <v>0</v>
          </cell>
          <cell r="J20">
            <v>0</v>
          </cell>
          <cell r="K20">
            <v>0</v>
          </cell>
          <cell r="L20">
            <v>0</v>
          </cell>
          <cell r="M20">
            <v>0</v>
          </cell>
          <cell r="N20">
            <v>0</v>
          </cell>
          <cell r="O20">
            <v>0</v>
          </cell>
          <cell r="P20">
            <v>-176245.54</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row>
        <row r="21">
          <cell r="A21" t="str">
            <v>700000A</v>
          </cell>
          <cell r="B21" t="str">
            <v xml:space="preserve">Total Recoveries                        </v>
          </cell>
          <cell r="C21">
            <v>-77829000</v>
          </cell>
          <cell r="D21">
            <v>-74098328.109999999</v>
          </cell>
          <cell r="E21">
            <v>0</v>
          </cell>
          <cell r="F21">
            <v>0</v>
          </cell>
          <cell r="G21">
            <v>0</v>
          </cell>
          <cell r="H21">
            <v>0</v>
          </cell>
          <cell r="I21">
            <v>0</v>
          </cell>
          <cell r="J21">
            <v>0</v>
          </cell>
          <cell r="K21">
            <v>0</v>
          </cell>
          <cell r="L21">
            <v>0</v>
          </cell>
          <cell r="M21">
            <v>0</v>
          </cell>
          <cell r="N21">
            <v>0</v>
          </cell>
          <cell r="O21">
            <v>0</v>
          </cell>
          <cell r="P21">
            <v>-74098328.109999999</v>
          </cell>
          <cell r="Q21">
            <v>0</v>
          </cell>
          <cell r="R21">
            <v>0</v>
          </cell>
          <cell r="S21">
            <v>0</v>
          </cell>
          <cell r="T21">
            <v>0</v>
          </cell>
          <cell r="U21">
            <v>0</v>
          </cell>
          <cell r="V21">
            <v>0</v>
          </cell>
          <cell r="W21">
            <v>0</v>
          </cell>
          <cell r="X21">
            <v>0</v>
          </cell>
          <cell r="Y21">
            <v>0</v>
          </cell>
          <cell r="Z21">
            <v>0</v>
          </cell>
          <cell r="AA21">
            <v>0</v>
          </cell>
          <cell r="AB21">
            <v>-77117420</v>
          </cell>
          <cell r="AC21">
            <v>-77256420</v>
          </cell>
          <cell r="AD21">
            <v>-77724420</v>
          </cell>
          <cell r="AE21">
            <v>-77724420</v>
          </cell>
          <cell r="AF21">
            <v>-77955420</v>
          </cell>
          <cell r="AG21">
            <v>-78506420</v>
          </cell>
          <cell r="AH21">
            <v>-78176420</v>
          </cell>
          <cell r="AI21">
            <v>-78488420</v>
          </cell>
          <cell r="AJ21">
            <v>-79280420</v>
          </cell>
          <cell r="AK21">
            <v>-78656420</v>
          </cell>
          <cell r="AL21">
            <v>-78274420</v>
          </cell>
          <cell r="AM21">
            <v>-78512420</v>
          </cell>
          <cell r="AN21">
            <v>-77117420</v>
          </cell>
          <cell r="AO21">
            <v>-154373840</v>
          </cell>
          <cell r="AP21">
            <v>-232098260</v>
          </cell>
          <cell r="AQ21">
            <v>-309822680</v>
          </cell>
          <cell r="AR21">
            <v>-387778100</v>
          </cell>
          <cell r="AS21">
            <v>-466284520</v>
          </cell>
          <cell r="AT21">
            <v>-544460940</v>
          </cell>
          <cell r="AU21">
            <v>-622949360</v>
          </cell>
          <cell r="AV21">
            <v>-702229780</v>
          </cell>
          <cell r="AW21">
            <v>-780886200</v>
          </cell>
          <cell r="AX21">
            <v>-859160620</v>
          </cell>
        </row>
        <row r="22">
          <cell r="A22" t="str">
            <v>700001A</v>
          </cell>
          <cell r="B22" t="str">
            <v xml:space="preserve">Furniture &amp; Equipment Recoveries        </v>
          </cell>
          <cell r="C22">
            <v>-1915425</v>
          </cell>
          <cell r="D22">
            <v>-1905125</v>
          </cell>
          <cell r="E22">
            <v>0</v>
          </cell>
          <cell r="F22">
            <v>0</v>
          </cell>
          <cell r="G22">
            <v>0</v>
          </cell>
          <cell r="H22">
            <v>0</v>
          </cell>
          <cell r="I22">
            <v>0</v>
          </cell>
          <cell r="J22">
            <v>0</v>
          </cell>
          <cell r="K22">
            <v>0</v>
          </cell>
          <cell r="L22">
            <v>0</v>
          </cell>
          <cell r="M22">
            <v>0</v>
          </cell>
          <cell r="N22">
            <v>0</v>
          </cell>
          <cell r="O22">
            <v>0</v>
          </cell>
          <cell r="P22">
            <v>-1905125</v>
          </cell>
          <cell r="Q22">
            <v>0</v>
          </cell>
          <cell r="R22">
            <v>0</v>
          </cell>
          <cell r="S22">
            <v>0</v>
          </cell>
          <cell r="T22">
            <v>0</v>
          </cell>
          <cell r="U22">
            <v>0</v>
          </cell>
          <cell r="V22">
            <v>0</v>
          </cell>
          <cell r="W22">
            <v>0</v>
          </cell>
          <cell r="X22">
            <v>0</v>
          </cell>
          <cell r="Y22">
            <v>0</v>
          </cell>
          <cell r="Z22">
            <v>0</v>
          </cell>
          <cell r="AA22">
            <v>0</v>
          </cell>
          <cell r="AB22">
            <v>-3569750</v>
          </cell>
          <cell r="AC22">
            <v>-3569750</v>
          </cell>
          <cell r="AD22">
            <v>-3569750</v>
          </cell>
          <cell r="AE22">
            <v>-3569750</v>
          </cell>
          <cell r="AF22">
            <v>-3569750</v>
          </cell>
          <cell r="AG22">
            <v>-3569750</v>
          </cell>
          <cell r="AH22">
            <v>-3569750</v>
          </cell>
          <cell r="AI22">
            <v>-3569750</v>
          </cell>
          <cell r="AJ22">
            <v>-3569750</v>
          </cell>
          <cell r="AK22">
            <v>-3569750</v>
          </cell>
          <cell r="AL22">
            <v>-3569750</v>
          </cell>
          <cell r="AM22">
            <v>-3569750</v>
          </cell>
          <cell r="AN22">
            <v>-3569750</v>
          </cell>
          <cell r="AO22">
            <v>-7139500</v>
          </cell>
          <cell r="AP22">
            <v>-10709250</v>
          </cell>
          <cell r="AQ22">
            <v>-14279000</v>
          </cell>
          <cell r="AR22">
            <v>-17848750</v>
          </cell>
          <cell r="AS22">
            <v>-21418500</v>
          </cell>
          <cell r="AT22">
            <v>-24988250</v>
          </cell>
          <cell r="AU22">
            <v>-28558000</v>
          </cell>
          <cell r="AV22">
            <v>-32127750</v>
          </cell>
          <cell r="AW22">
            <v>-35697500</v>
          </cell>
          <cell r="AX22">
            <v>-39267250</v>
          </cell>
        </row>
        <row r="23">
          <cell r="A23" t="str">
            <v>700010A</v>
          </cell>
          <cell r="B23" t="str">
            <v xml:space="preserve">Telecomm Recoveries                     </v>
          </cell>
          <cell r="C23">
            <v>-66463000</v>
          </cell>
          <cell r="D23">
            <v>-67492566.689999998</v>
          </cell>
          <cell r="E23">
            <v>0</v>
          </cell>
          <cell r="F23">
            <v>0</v>
          </cell>
          <cell r="G23">
            <v>0</v>
          </cell>
          <cell r="H23">
            <v>0</v>
          </cell>
          <cell r="I23">
            <v>0</v>
          </cell>
          <cell r="J23">
            <v>0</v>
          </cell>
          <cell r="K23">
            <v>0</v>
          </cell>
          <cell r="L23">
            <v>0</v>
          </cell>
          <cell r="M23">
            <v>0</v>
          </cell>
          <cell r="N23">
            <v>0</v>
          </cell>
          <cell r="O23">
            <v>0</v>
          </cell>
          <cell r="P23">
            <v>-67492566.689999998</v>
          </cell>
          <cell r="Q23">
            <v>0</v>
          </cell>
          <cell r="R23">
            <v>0</v>
          </cell>
          <cell r="S23">
            <v>0</v>
          </cell>
          <cell r="T23">
            <v>0</v>
          </cell>
          <cell r="U23">
            <v>0</v>
          </cell>
          <cell r="V23">
            <v>0</v>
          </cell>
          <cell r="W23">
            <v>0</v>
          </cell>
          <cell r="X23">
            <v>0</v>
          </cell>
          <cell r="Y23">
            <v>0</v>
          </cell>
          <cell r="Z23">
            <v>0</v>
          </cell>
          <cell r="AA23">
            <v>0</v>
          </cell>
          <cell r="AB23">
            <v>-66608000</v>
          </cell>
          <cell r="AC23">
            <v>-66748000</v>
          </cell>
          <cell r="AD23">
            <v>-67128000</v>
          </cell>
          <cell r="AE23">
            <v>-66958000</v>
          </cell>
          <cell r="AF23">
            <v>-66999000</v>
          </cell>
          <cell r="AG23">
            <v>-67410000</v>
          </cell>
          <cell r="AH23">
            <v>-67208000</v>
          </cell>
          <cell r="AI23">
            <v>-67543000</v>
          </cell>
          <cell r="AJ23">
            <v>-68243000</v>
          </cell>
          <cell r="AK23">
            <v>-67668000</v>
          </cell>
          <cell r="AL23">
            <v>-67753000</v>
          </cell>
          <cell r="AM23">
            <v>-68002000</v>
          </cell>
          <cell r="AN23">
            <v>-66608000</v>
          </cell>
          <cell r="AO23">
            <v>-133356000</v>
          </cell>
          <cell r="AP23">
            <v>-200484000</v>
          </cell>
          <cell r="AQ23">
            <v>-267442000</v>
          </cell>
          <cell r="AR23">
            <v>-334441000</v>
          </cell>
          <cell r="AS23">
            <v>-401851000</v>
          </cell>
          <cell r="AT23">
            <v>-469059000</v>
          </cell>
          <cell r="AU23">
            <v>-536602000</v>
          </cell>
          <cell r="AV23">
            <v>-604845000</v>
          </cell>
          <cell r="AW23">
            <v>-672513000</v>
          </cell>
          <cell r="AX23">
            <v>-740266000</v>
          </cell>
        </row>
        <row r="24">
          <cell r="A24" t="str">
            <v>700012A</v>
          </cell>
          <cell r="B24" t="str">
            <v xml:space="preserve">Programming Services Recoveries         </v>
          </cell>
          <cell r="C24">
            <v>-2548000</v>
          </cell>
          <cell r="D24">
            <v>-3889637.42</v>
          </cell>
          <cell r="E24">
            <v>0</v>
          </cell>
          <cell r="F24">
            <v>0</v>
          </cell>
          <cell r="G24">
            <v>0</v>
          </cell>
          <cell r="H24">
            <v>0</v>
          </cell>
          <cell r="I24">
            <v>0</v>
          </cell>
          <cell r="J24">
            <v>0</v>
          </cell>
          <cell r="K24">
            <v>0</v>
          </cell>
          <cell r="L24">
            <v>0</v>
          </cell>
          <cell r="M24">
            <v>0</v>
          </cell>
          <cell r="N24">
            <v>0</v>
          </cell>
          <cell r="O24">
            <v>0</v>
          </cell>
          <cell r="P24">
            <v>-3889637.42</v>
          </cell>
          <cell r="Q24">
            <v>0</v>
          </cell>
          <cell r="R24">
            <v>0</v>
          </cell>
          <cell r="S24">
            <v>0</v>
          </cell>
          <cell r="T24">
            <v>0</v>
          </cell>
          <cell r="U24">
            <v>0</v>
          </cell>
          <cell r="V24">
            <v>0</v>
          </cell>
          <cell r="W24">
            <v>0</v>
          </cell>
          <cell r="X24">
            <v>0</v>
          </cell>
          <cell r="Y24">
            <v>0</v>
          </cell>
          <cell r="Z24">
            <v>0</v>
          </cell>
          <cell r="AA24">
            <v>0</v>
          </cell>
          <cell r="AB24">
            <v>-4444000</v>
          </cell>
          <cell r="AC24">
            <v>-4504000</v>
          </cell>
          <cell r="AD24">
            <v>-4571000</v>
          </cell>
          <cell r="AE24">
            <v>-4522000</v>
          </cell>
          <cell r="AF24">
            <v>-4600000</v>
          </cell>
          <cell r="AG24">
            <v>-4784000</v>
          </cell>
          <cell r="AH24">
            <v>-4622000</v>
          </cell>
          <cell r="AI24">
            <v>-4684000</v>
          </cell>
          <cell r="AJ24">
            <v>-4766000</v>
          </cell>
          <cell r="AK24">
            <v>-4689000</v>
          </cell>
          <cell r="AL24">
            <v>-4814000</v>
          </cell>
          <cell r="AM24">
            <v>-4728000</v>
          </cell>
          <cell r="AN24">
            <v>-4444000</v>
          </cell>
          <cell r="AO24">
            <v>-8948000</v>
          </cell>
          <cell r="AP24">
            <v>-13519000</v>
          </cell>
          <cell r="AQ24">
            <v>-18041000</v>
          </cell>
          <cell r="AR24">
            <v>-22641000</v>
          </cell>
          <cell r="AS24">
            <v>-27425000</v>
          </cell>
          <cell r="AT24">
            <v>-32047000</v>
          </cell>
          <cell r="AU24">
            <v>-36731000</v>
          </cell>
          <cell r="AV24">
            <v>-41497000</v>
          </cell>
          <cell r="AW24">
            <v>-46186000</v>
          </cell>
          <cell r="AX24">
            <v>-51000000</v>
          </cell>
        </row>
        <row r="25">
          <cell r="A25" t="str">
            <v>700012G</v>
          </cell>
          <cell r="B25" t="str">
            <v xml:space="preserve">Project Services Recoveries             </v>
          </cell>
          <cell r="C25">
            <v>-6824000</v>
          </cell>
          <cell r="D25">
            <v>-738108</v>
          </cell>
          <cell r="E25">
            <v>0</v>
          </cell>
          <cell r="F25">
            <v>0</v>
          </cell>
          <cell r="G25">
            <v>0</v>
          </cell>
          <cell r="H25">
            <v>0</v>
          </cell>
          <cell r="I25">
            <v>0</v>
          </cell>
          <cell r="J25">
            <v>0</v>
          </cell>
          <cell r="K25">
            <v>0</v>
          </cell>
          <cell r="L25">
            <v>0</v>
          </cell>
          <cell r="M25">
            <v>0</v>
          </cell>
          <cell r="N25">
            <v>0</v>
          </cell>
          <cell r="O25">
            <v>0</v>
          </cell>
          <cell r="P25">
            <v>-738108</v>
          </cell>
          <cell r="Q25">
            <v>0</v>
          </cell>
          <cell r="R25">
            <v>0</v>
          </cell>
          <cell r="S25">
            <v>0</v>
          </cell>
          <cell r="T25">
            <v>0</v>
          </cell>
          <cell r="U25">
            <v>0</v>
          </cell>
          <cell r="V25">
            <v>0</v>
          </cell>
          <cell r="W25">
            <v>0</v>
          </cell>
          <cell r="X25">
            <v>0</v>
          </cell>
          <cell r="Y25">
            <v>0</v>
          </cell>
          <cell r="Z25">
            <v>0</v>
          </cell>
          <cell r="AA25">
            <v>0</v>
          </cell>
          <cell r="AB25">
            <v>-2495670</v>
          </cell>
          <cell r="AC25">
            <v>-2434670</v>
          </cell>
          <cell r="AD25">
            <v>-2455670</v>
          </cell>
          <cell r="AE25">
            <v>-2674670</v>
          </cell>
          <cell r="AF25">
            <v>-2786670</v>
          </cell>
          <cell r="AG25">
            <v>-2742670</v>
          </cell>
          <cell r="AH25">
            <v>-2776670</v>
          </cell>
          <cell r="AI25">
            <v>-2691670</v>
          </cell>
          <cell r="AJ25">
            <v>-2701670</v>
          </cell>
          <cell r="AK25">
            <v>-2729670</v>
          </cell>
          <cell r="AL25">
            <v>-2137670</v>
          </cell>
          <cell r="AM25">
            <v>-2212670</v>
          </cell>
          <cell r="AN25">
            <v>-2495670</v>
          </cell>
          <cell r="AO25">
            <v>-4930340</v>
          </cell>
          <cell r="AP25">
            <v>-7386010</v>
          </cell>
          <cell r="AQ25">
            <v>-10060680</v>
          </cell>
          <cell r="AR25">
            <v>-12847350</v>
          </cell>
          <cell r="AS25">
            <v>-15590020</v>
          </cell>
          <cell r="AT25">
            <v>-18366690</v>
          </cell>
          <cell r="AU25">
            <v>-21058360</v>
          </cell>
          <cell r="AV25">
            <v>-23760030</v>
          </cell>
          <cell r="AW25">
            <v>-26489700</v>
          </cell>
          <cell r="AX25">
            <v>-28627370</v>
          </cell>
        </row>
        <row r="26">
          <cell r="A26" t="str">
            <v>830130A</v>
          </cell>
          <cell r="B26" t="str">
            <v xml:space="preserve">Full Time Equivalent Staff              </v>
          </cell>
          <cell r="C26">
            <v>39112</v>
          </cell>
          <cell r="D26">
            <v>38841.99</v>
          </cell>
          <cell r="E26">
            <v>0</v>
          </cell>
          <cell r="F26">
            <v>0</v>
          </cell>
          <cell r="G26">
            <v>0</v>
          </cell>
          <cell r="H26">
            <v>0</v>
          </cell>
          <cell r="I26">
            <v>0</v>
          </cell>
          <cell r="J26">
            <v>0</v>
          </cell>
          <cell r="K26">
            <v>0</v>
          </cell>
          <cell r="L26">
            <v>0</v>
          </cell>
          <cell r="M26">
            <v>0</v>
          </cell>
          <cell r="N26">
            <v>0</v>
          </cell>
          <cell r="O26">
            <v>0</v>
          </cell>
          <cell r="P26">
            <v>38841.99</v>
          </cell>
          <cell r="Q26">
            <v>0</v>
          </cell>
          <cell r="R26">
            <v>0</v>
          </cell>
          <cell r="S26">
            <v>0</v>
          </cell>
          <cell r="T26">
            <v>0</v>
          </cell>
          <cell r="U26">
            <v>0</v>
          </cell>
          <cell r="V26">
            <v>0</v>
          </cell>
          <cell r="W26">
            <v>0</v>
          </cell>
          <cell r="X26">
            <v>0</v>
          </cell>
          <cell r="Y26">
            <v>0</v>
          </cell>
          <cell r="Z26">
            <v>0</v>
          </cell>
          <cell r="AA26">
            <v>0</v>
          </cell>
          <cell r="AB26">
            <v>40396</v>
          </cell>
          <cell r="AC26">
            <v>40325</v>
          </cell>
          <cell r="AD26">
            <v>40260</v>
          </cell>
          <cell r="AE26">
            <v>40085</v>
          </cell>
          <cell r="AF26">
            <v>40021</v>
          </cell>
          <cell r="AG26">
            <v>39710</v>
          </cell>
          <cell r="AH26">
            <v>39635</v>
          </cell>
          <cell r="AI26">
            <v>39534</v>
          </cell>
          <cell r="AJ26">
            <v>39238</v>
          </cell>
          <cell r="AK26">
            <v>38717</v>
          </cell>
          <cell r="AL26">
            <v>38549</v>
          </cell>
          <cell r="AM26">
            <v>38483</v>
          </cell>
          <cell r="AN26">
            <v>40396</v>
          </cell>
          <cell r="AO26">
            <v>40362.26</v>
          </cell>
          <cell r="AP26">
            <v>40327.01</v>
          </cell>
          <cell r="AQ26">
            <v>40266.639999999999</v>
          </cell>
          <cell r="AR26">
            <v>40216.080000000002</v>
          </cell>
          <cell r="AS26">
            <v>40132.25</v>
          </cell>
          <cell r="AT26">
            <v>40059.53</v>
          </cell>
          <cell r="AU26">
            <v>39992.54</v>
          </cell>
          <cell r="AV26">
            <v>39909.67</v>
          </cell>
          <cell r="AW26">
            <v>39787.919999999998</v>
          </cell>
          <cell r="AX26">
            <v>39676.699999999997</v>
          </cell>
        </row>
        <row r="27">
          <cell r="A27" t="str">
            <v>DIREXP-SC</v>
          </cell>
          <cell r="B27" t="str">
            <v xml:space="preserve">Total Direct Expense                    </v>
          </cell>
          <cell r="C27">
            <v>408079000</v>
          </cell>
          <cell r="D27">
            <v>347972119.57999998</v>
          </cell>
          <cell r="E27">
            <v>0</v>
          </cell>
          <cell r="F27">
            <v>0</v>
          </cell>
          <cell r="G27">
            <v>0</v>
          </cell>
          <cell r="H27">
            <v>0</v>
          </cell>
          <cell r="I27">
            <v>0</v>
          </cell>
          <cell r="J27">
            <v>0</v>
          </cell>
          <cell r="K27">
            <v>0</v>
          </cell>
          <cell r="L27">
            <v>0</v>
          </cell>
          <cell r="M27">
            <v>0</v>
          </cell>
          <cell r="N27">
            <v>0</v>
          </cell>
          <cell r="O27">
            <v>0</v>
          </cell>
          <cell r="P27">
            <v>347972119.57999998</v>
          </cell>
          <cell r="Q27">
            <v>0</v>
          </cell>
          <cell r="R27">
            <v>0</v>
          </cell>
          <cell r="S27">
            <v>0</v>
          </cell>
          <cell r="T27">
            <v>0</v>
          </cell>
          <cell r="U27">
            <v>0</v>
          </cell>
          <cell r="V27">
            <v>0</v>
          </cell>
          <cell r="W27">
            <v>0</v>
          </cell>
          <cell r="X27">
            <v>0</v>
          </cell>
          <cell r="Y27">
            <v>0</v>
          </cell>
          <cell r="Z27">
            <v>0</v>
          </cell>
          <cell r="AA27">
            <v>0</v>
          </cell>
          <cell r="AB27">
            <v>385489534.69999999</v>
          </cell>
          <cell r="AC27">
            <v>375548102.39999998</v>
          </cell>
          <cell r="AD27">
            <v>375816902.39999998</v>
          </cell>
          <cell r="AE27">
            <v>379995478.10000002</v>
          </cell>
          <cell r="AF27">
            <v>378109162.5</v>
          </cell>
          <cell r="AG27">
            <v>372653284.89999998</v>
          </cell>
          <cell r="AH27">
            <v>376212664.89999998</v>
          </cell>
          <cell r="AI27">
            <v>367400463.60000002</v>
          </cell>
          <cell r="AJ27">
            <v>364842496.10000002</v>
          </cell>
          <cell r="AK27">
            <v>364930525.30000001</v>
          </cell>
          <cell r="AL27">
            <v>354845968.39999998</v>
          </cell>
          <cell r="AM27">
            <v>358503178.39999998</v>
          </cell>
          <cell r="AN27">
            <v>385489534.69999999</v>
          </cell>
          <cell r="AO27">
            <v>761037637.10000002</v>
          </cell>
          <cell r="AP27">
            <v>1136854539.5</v>
          </cell>
          <cell r="AQ27">
            <v>1516850017.5999999</v>
          </cell>
          <cell r="AR27">
            <v>1894959180.0999999</v>
          </cell>
          <cell r="AS27">
            <v>2267612465</v>
          </cell>
          <cell r="AT27">
            <v>2643825129.9000001</v>
          </cell>
          <cell r="AU27">
            <v>3011225593.5</v>
          </cell>
          <cell r="AV27">
            <v>3376068089.5999999</v>
          </cell>
          <cell r="AW27">
            <v>3740998614.9000001</v>
          </cell>
          <cell r="AX27">
            <v>4095844583.3000002</v>
          </cell>
        </row>
        <row r="28">
          <cell r="A28" t="str">
            <v>NIEBEFALL</v>
          </cell>
          <cell r="B28" t="str">
            <v xml:space="preserve">Total Non-Interest Exp Bef Cost Alloc   </v>
          </cell>
          <cell r="C28">
            <v>330250000</v>
          </cell>
          <cell r="D28">
            <v>273873791.47000003</v>
          </cell>
          <cell r="E28">
            <v>0</v>
          </cell>
          <cell r="F28">
            <v>0</v>
          </cell>
          <cell r="G28">
            <v>0</v>
          </cell>
          <cell r="H28">
            <v>0</v>
          </cell>
          <cell r="I28">
            <v>0</v>
          </cell>
          <cell r="J28">
            <v>0</v>
          </cell>
          <cell r="K28">
            <v>0</v>
          </cell>
          <cell r="L28">
            <v>0</v>
          </cell>
          <cell r="M28">
            <v>0</v>
          </cell>
          <cell r="N28">
            <v>0</v>
          </cell>
          <cell r="O28">
            <v>0</v>
          </cell>
          <cell r="P28">
            <v>273873791.47000003</v>
          </cell>
          <cell r="Q28">
            <v>0</v>
          </cell>
          <cell r="R28">
            <v>0</v>
          </cell>
          <cell r="S28">
            <v>0</v>
          </cell>
          <cell r="T28">
            <v>0</v>
          </cell>
          <cell r="U28">
            <v>0</v>
          </cell>
          <cell r="V28">
            <v>0</v>
          </cell>
          <cell r="W28">
            <v>0</v>
          </cell>
          <cell r="X28">
            <v>0</v>
          </cell>
          <cell r="Y28">
            <v>0</v>
          </cell>
          <cell r="Z28">
            <v>0</v>
          </cell>
          <cell r="AA28">
            <v>0</v>
          </cell>
          <cell r="AB28">
            <v>308372114.69999999</v>
          </cell>
          <cell r="AC28">
            <v>298291682.39999998</v>
          </cell>
          <cell r="AD28">
            <v>298092482.39999998</v>
          </cell>
          <cell r="AE28">
            <v>302271058.10000002</v>
          </cell>
          <cell r="AF28">
            <v>300153742.5</v>
          </cell>
          <cell r="AG28">
            <v>294146864.89999998</v>
          </cell>
          <cell r="AH28">
            <v>298036244.89999998</v>
          </cell>
          <cell r="AI28">
            <v>288912043.60000002</v>
          </cell>
          <cell r="AJ28">
            <v>285562076.10000002</v>
          </cell>
          <cell r="AK28">
            <v>286274105.30000001</v>
          </cell>
          <cell r="AL28">
            <v>276571548.39999998</v>
          </cell>
          <cell r="AM28">
            <v>279990758.39999998</v>
          </cell>
          <cell r="AN28">
            <v>308372114.69999999</v>
          </cell>
          <cell r="AO28">
            <v>606663797.10000002</v>
          </cell>
          <cell r="AP28">
            <v>904756279.5</v>
          </cell>
          <cell r="AQ28">
            <v>1207027337.5999999</v>
          </cell>
          <cell r="AR28">
            <v>1507181080.0999999</v>
          </cell>
          <cell r="AS28">
            <v>1801327945</v>
          </cell>
          <cell r="AT28">
            <v>2099364189.9000001</v>
          </cell>
          <cell r="AU28">
            <v>2388276233.5</v>
          </cell>
          <cell r="AV28">
            <v>2673838309.5999999</v>
          </cell>
          <cell r="AW28">
            <v>2960112414.9000001</v>
          </cell>
          <cell r="AX28">
            <v>3236683963.3000002</v>
          </cell>
        </row>
        <row r="29">
          <cell r="A29" t="str">
            <v>TOTSAL</v>
          </cell>
          <cell r="B29" t="str">
            <v xml:space="preserve">Salaries &amp; Wages                        </v>
          </cell>
          <cell r="C29">
            <v>104193000</v>
          </cell>
          <cell r="D29">
            <v>104991963.68000001</v>
          </cell>
          <cell r="E29">
            <v>0</v>
          </cell>
          <cell r="F29">
            <v>0</v>
          </cell>
          <cell r="G29">
            <v>0</v>
          </cell>
          <cell r="H29">
            <v>0</v>
          </cell>
          <cell r="I29">
            <v>0</v>
          </cell>
          <cell r="J29">
            <v>0</v>
          </cell>
          <cell r="K29">
            <v>0</v>
          </cell>
          <cell r="L29">
            <v>0</v>
          </cell>
          <cell r="M29">
            <v>0</v>
          </cell>
          <cell r="N29">
            <v>0</v>
          </cell>
          <cell r="O29">
            <v>0</v>
          </cell>
          <cell r="P29">
            <v>104991963.68000001</v>
          </cell>
          <cell r="Q29">
            <v>0</v>
          </cell>
          <cell r="R29">
            <v>0</v>
          </cell>
          <cell r="S29">
            <v>0</v>
          </cell>
          <cell r="T29">
            <v>0</v>
          </cell>
          <cell r="U29">
            <v>0</v>
          </cell>
          <cell r="V29">
            <v>0</v>
          </cell>
          <cell r="W29">
            <v>0</v>
          </cell>
          <cell r="X29">
            <v>0</v>
          </cell>
          <cell r="Y29">
            <v>0</v>
          </cell>
          <cell r="Z29">
            <v>0</v>
          </cell>
          <cell r="AA29">
            <v>0</v>
          </cell>
          <cell r="AB29">
            <v>108209380</v>
          </cell>
          <cell r="AC29">
            <v>108276210</v>
          </cell>
          <cell r="AD29">
            <v>108054210</v>
          </cell>
          <cell r="AE29">
            <v>108928240</v>
          </cell>
          <cell r="AF29">
            <v>108455000</v>
          </cell>
          <cell r="AG29">
            <v>107994960</v>
          </cell>
          <cell r="AH29">
            <v>108389960</v>
          </cell>
          <cell r="AI29">
            <v>108274690</v>
          </cell>
          <cell r="AJ29">
            <v>108017440</v>
          </cell>
          <cell r="AK29">
            <v>106961120</v>
          </cell>
          <cell r="AL29">
            <v>106313610</v>
          </cell>
          <cell r="AM29">
            <v>106282610</v>
          </cell>
          <cell r="AN29">
            <v>108209380</v>
          </cell>
          <cell r="AO29">
            <v>216485590</v>
          </cell>
          <cell r="AP29">
            <v>324539800</v>
          </cell>
          <cell r="AQ29">
            <v>433468040</v>
          </cell>
          <cell r="AR29">
            <v>541923040</v>
          </cell>
          <cell r="AS29">
            <v>649918000</v>
          </cell>
          <cell r="AT29">
            <v>758307960</v>
          </cell>
          <cell r="AU29">
            <v>866582650</v>
          </cell>
          <cell r="AV29">
            <v>974600090</v>
          </cell>
          <cell r="AW29">
            <v>1081561210</v>
          </cell>
          <cell r="AX29">
            <v>1187874820</v>
          </cell>
        </row>
      </sheetData>
      <sheetData sheetId="1" refreshError="1"/>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GE-A"/>
      <sheetName val="T-EN-A"/>
      <sheetName val="T-SO-A"/>
      <sheetName val="T-SE-A"/>
      <sheetName val="T-C-B"/>
      <sheetName val="T-C-C"/>
      <sheetName val="T-C-D"/>
      <sheetName val="T-C-F"/>
      <sheetName val="S-Menu"/>
      <sheetName val="S-C-2"/>
      <sheetName val="S-C-3"/>
      <sheetName val="S-GE-4"/>
      <sheetName val="S-SE-4"/>
      <sheetName val="S-SO-4"/>
      <sheetName val="S-EN-4"/>
      <sheetName val="S-EN-4b"/>
      <sheetName val="S-SO-5"/>
      <sheetName val="S-SO-4CN"/>
      <sheetName val="S-SO-5CN"/>
      <sheetName val="S-SO-4CA"/>
      <sheetName val="S-SO-5CA"/>
      <sheetName val="S-SE-5"/>
      <sheetName val="S-SE-4CN"/>
      <sheetName val="S-SE-5CN"/>
      <sheetName val="S-SE-4CA"/>
      <sheetName val="S-SE-5CA"/>
      <sheetName val="S-SE-6"/>
      <sheetName val="S-GE-5"/>
      <sheetName val="S-GE-4CN"/>
      <sheetName val="S-GE-5CN"/>
      <sheetName val="S-GE-4CA"/>
      <sheetName val="S-GE-5CA"/>
      <sheetName val="S-EN-5"/>
      <sheetName val="S-EN-4CA"/>
      <sheetName val="S-EN-4CAb"/>
      <sheetName val="S-SO-6"/>
      <sheetName val="S-GE-6"/>
      <sheetName val="S-SO-7"/>
      <sheetName val="S-GE-7"/>
      <sheetName val="S-EN-5CA"/>
      <sheetName val="S-EN-6"/>
      <sheetName val="S-EN-7"/>
      <sheetName val="S-SE-7"/>
      <sheetName val="S-GE-9"/>
      <sheetName val="S-EN-9"/>
      <sheetName val="S-SO-9"/>
      <sheetName val="S-SE-9"/>
      <sheetName val="S-GE-10"/>
      <sheetName val="S-EN-10"/>
      <sheetName val="S-SE-10"/>
      <sheetName val="S-SO-10"/>
      <sheetName val="S-SO-11"/>
      <sheetName val="S-EN-11"/>
      <sheetName val="S-GE-11"/>
      <sheetName val="S-SE-11"/>
      <sheetName val="S-C-11b"/>
      <sheetName val="S-C-13"/>
      <sheetName val="S-GE-14"/>
      <sheetName val="S-EN-14"/>
      <sheetName val="S-SO-14"/>
      <sheetName val="S-SE-14"/>
      <sheetName val="S-C-15"/>
      <sheetName val="S-GE-Instrucciones"/>
      <sheetName val="S-EN-Instrucciones"/>
      <sheetName val="S-SO-Instrucciones"/>
      <sheetName val="S-SE-Instrucciones"/>
      <sheetName val="T-GE-Instrucciones"/>
      <sheetName val="T-EN-Instrucciones"/>
      <sheetName val="T-SO-Instrucciones"/>
      <sheetName val="T-SE-Instrucciones"/>
      <sheetName val="TAX_S_SO"/>
      <sheetName val="TAX_S_GE"/>
      <sheetName val="TAX_T_GE"/>
      <sheetName val="TAX_S_EN"/>
      <sheetName val="TAX_T_SE"/>
      <sheetName val="TAX_S_SE"/>
      <sheetName val="TAX_T_EN"/>
      <sheetName val="TAX_T_SO"/>
      <sheetName val="Listas"/>
      <sheetName val="Multiidioma"/>
      <sheetName val="R1"/>
      <sheetName val="Pará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row r="8">
          <cell r="A8" t="str">
            <v>ESPAÑA</v>
          </cell>
        </row>
        <row r="9">
          <cell r="A9" t="str">
            <v>AFGANISTÁN</v>
          </cell>
        </row>
        <row r="10">
          <cell r="A10" t="str">
            <v>ALBANIA</v>
          </cell>
        </row>
        <row r="11">
          <cell r="A11" t="str">
            <v>ALEMANIA</v>
          </cell>
        </row>
        <row r="12">
          <cell r="A12" t="str">
            <v>ANDORRA</v>
          </cell>
        </row>
        <row r="13">
          <cell r="A13" t="str">
            <v>ANGOLA</v>
          </cell>
        </row>
        <row r="14">
          <cell r="A14" t="str">
            <v>ANGUILA</v>
          </cell>
        </row>
        <row r="15">
          <cell r="A15" t="str">
            <v>ANTÁRTIDA</v>
          </cell>
        </row>
        <row r="16">
          <cell r="A16" t="str">
            <v>ANTIGUA Y BARBUDA</v>
          </cell>
        </row>
        <row r="17">
          <cell r="A17" t="str">
            <v>ANTILLAS HOLANDESAS</v>
          </cell>
        </row>
        <row r="18">
          <cell r="A18" t="str">
            <v>ARABIA SAUDITA</v>
          </cell>
        </row>
        <row r="19">
          <cell r="A19" t="str">
            <v>ARGELIA</v>
          </cell>
        </row>
        <row r="20">
          <cell r="A20" t="str">
            <v>ARGENTINA</v>
          </cell>
        </row>
        <row r="21">
          <cell r="A21" t="str">
            <v>ARMENIA</v>
          </cell>
        </row>
        <row r="22">
          <cell r="A22" t="str">
            <v>ARUBA</v>
          </cell>
        </row>
        <row r="23">
          <cell r="A23" t="str">
            <v>AUSTRALIA</v>
          </cell>
        </row>
        <row r="24">
          <cell r="A24" t="str">
            <v>AUSTRIA</v>
          </cell>
        </row>
        <row r="25">
          <cell r="A25" t="str">
            <v>AZERBAIYÁN</v>
          </cell>
        </row>
        <row r="26">
          <cell r="A26" t="str">
            <v>BAHAMAS</v>
          </cell>
        </row>
        <row r="27">
          <cell r="A27" t="str">
            <v>BAHREIN</v>
          </cell>
        </row>
        <row r="28">
          <cell r="A28" t="str">
            <v>BANGLADESH</v>
          </cell>
        </row>
        <row r="29">
          <cell r="A29" t="str">
            <v>BARBADOS</v>
          </cell>
        </row>
        <row r="30">
          <cell r="A30" t="str">
            <v>BÉLGICA</v>
          </cell>
        </row>
        <row r="31">
          <cell r="A31" t="str">
            <v>BELICE</v>
          </cell>
        </row>
        <row r="32">
          <cell r="A32" t="str">
            <v>BENÁN</v>
          </cell>
        </row>
        <row r="33">
          <cell r="A33" t="str">
            <v>BERMUDAS</v>
          </cell>
        </row>
        <row r="34">
          <cell r="A34" t="str">
            <v>BIELORRUSIA</v>
          </cell>
        </row>
        <row r="35">
          <cell r="A35" t="str">
            <v>BOLIVIA</v>
          </cell>
        </row>
        <row r="36">
          <cell r="A36" t="str">
            <v>BOSNIA-HERZEGOVINA</v>
          </cell>
        </row>
        <row r="37">
          <cell r="A37" t="str">
            <v>BOTSWANA</v>
          </cell>
        </row>
        <row r="38">
          <cell r="A38" t="str">
            <v>BRASIL</v>
          </cell>
        </row>
        <row r="39">
          <cell r="A39" t="str">
            <v>BRUNEI</v>
          </cell>
        </row>
        <row r="40">
          <cell r="A40" t="str">
            <v>BULGARIA</v>
          </cell>
        </row>
        <row r="41">
          <cell r="A41" t="str">
            <v>BURKINA FASO</v>
          </cell>
        </row>
        <row r="42">
          <cell r="A42" t="str">
            <v>BURUNDI</v>
          </cell>
        </row>
        <row r="43">
          <cell r="A43" t="str">
            <v>BUTÁN</v>
          </cell>
        </row>
        <row r="44">
          <cell r="A44" t="str">
            <v>CABO VERDE</v>
          </cell>
        </row>
        <row r="45">
          <cell r="A45" t="str">
            <v>CAMBOYA</v>
          </cell>
        </row>
        <row r="46">
          <cell r="A46" t="str">
            <v>CAMERÚN</v>
          </cell>
        </row>
        <row r="47">
          <cell r="A47" t="str">
            <v>CANADÁ</v>
          </cell>
        </row>
        <row r="48">
          <cell r="A48" t="str">
            <v>CHAD</v>
          </cell>
        </row>
        <row r="49">
          <cell r="A49" t="str">
            <v>CHILE</v>
          </cell>
        </row>
        <row r="50">
          <cell r="A50" t="str">
            <v>CHINA</v>
          </cell>
        </row>
        <row r="51">
          <cell r="A51" t="str">
            <v>CHIPRE</v>
          </cell>
        </row>
        <row r="52">
          <cell r="A52" t="str">
            <v>COCOS (KEELING)</v>
          </cell>
        </row>
        <row r="53">
          <cell r="A53" t="str">
            <v>COLOMBIA</v>
          </cell>
        </row>
        <row r="54">
          <cell r="A54" t="str">
            <v>COMORES</v>
          </cell>
        </row>
        <row r="55">
          <cell r="A55" t="str">
            <v>COSTA DEL MARFIL</v>
          </cell>
        </row>
        <row r="56">
          <cell r="A56" t="str">
            <v>COSTA RICA</v>
          </cell>
        </row>
        <row r="57">
          <cell r="A57" t="str">
            <v>CROACIA</v>
          </cell>
        </row>
        <row r="58">
          <cell r="A58" t="str">
            <v>CUBA</v>
          </cell>
        </row>
        <row r="59">
          <cell r="A59" t="str">
            <v>DINAMARCA</v>
          </cell>
        </row>
        <row r="60">
          <cell r="A60" t="str">
            <v>DJIBOUTI</v>
          </cell>
        </row>
        <row r="61">
          <cell r="A61" t="str">
            <v>DOMINICA</v>
          </cell>
        </row>
        <row r="62">
          <cell r="A62" t="str">
            <v>ECUADOR</v>
          </cell>
        </row>
        <row r="63">
          <cell r="A63" t="str">
            <v>EGIPTO</v>
          </cell>
        </row>
        <row r="64">
          <cell r="A64" t="str">
            <v>EL SALVADOR</v>
          </cell>
        </row>
        <row r="65">
          <cell r="A65" t="str">
            <v>EMIRATOS ÁRABES UNIDOS</v>
          </cell>
        </row>
        <row r="66">
          <cell r="A66" t="str">
            <v>ERITREA</v>
          </cell>
        </row>
        <row r="67">
          <cell r="A67" t="str">
            <v>ESLOVAQUIA</v>
          </cell>
        </row>
        <row r="68">
          <cell r="A68" t="str">
            <v>ESLOVENIA</v>
          </cell>
        </row>
        <row r="69">
          <cell r="A69" t="str">
            <v>ESTADOS FEDERADOS DE MICRONESIA</v>
          </cell>
        </row>
        <row r="70">
          <cell r="A70" t="str">
            <v>ESTADOS UNIDOS DE AMÉRICA</v>
          </cell>
        </row>
        <row r="71">
          <cell r="A71" t="str">
            <v>ESTONIA</v>
          </cell>
        </row>
        <row r="72">
          <cell r="A72" t="str">
            <v>ETIOPÍA</v>
          </cell>
        </row>
        <row r="73">
          <cell r="A73" t="str">
            <v>EX REPUBLICA YUGOSLAVA DE MACEDONIA</v>
          </cell>
        </row>
        <row r="74">
          <cell r="A74" t="str">
            <v>FEDERACIÓN RUSA</v>
          </cell>
        </row>
        <row r="75">
          <cell r="A75" t="str">
            <v>FILIPINAS</v>
          </cell>
        </row>
        <row r="76">
          <cell r="A76" t="str">
            <v>FINLANDIA</v>
          </cell>
        </row>
        <row r="77">
          <cell r="A77" t="str">
            <v>FRANCIA</v>
          </cell>
        </row>
        <row r="78">
          <cell r="A78" t="str">
            <v>GABÁN</v>
          </cell>
        </row>
        <row r="79">
          <cell r="A79" t="str">
            <v>GAMBIA</v>
          </cell>
        </row>
        <row r="80">
          <cell r="A80" t="str">
            <v>GEORGIA</v>
          </cell>
        </row>
        <row r="81">
          <cell r="A81" t="str">
            <v>GHANA</v>
          </cell>
        </row>
        <row r="82">
          <cell r="A82" t="str">
            <v>GIBRALTAR</v>
          </cell>
        </row>
        <row r="83">
          <cell r="A83" t="str">
            <v>GRANADA</v>
          </cell>
        </row>
        <row r="84">
          <cell r="A84" t="str">
            <v>GRECIA</v>
          </cell>
        </row>
        <row r="85">
          <cell r="A85" t="str">
            <v>GROENLANDIA</v>
          </cell>
        </row>
        <row r="86">
          <cell r="A86" t="str">
            <v>GUADALUPE</v>
          </cell>
        </row>
        <row r="87">
          <cell r="A87" t="str">
            <v>GUAM</v>
          </cell>
        </row>
        <row r="88">
          <cell r="A88" t="str">
            <v>GUATEMALA</v>
          </cell>
        </row>
        <row r="89">
          <cell r="A89" t="str">
            <v>GUAYANA FRANCESA</v>
          </cell>
        </row>
        <row r="90">
          <cell r="A90" t="str">
            <v>GUINEA</v>
          </cell>
        </row>
        <row r="91">
          <cell r="A91" t="str">
            <v>GUINEA ECUATORIAL</v>
          </cell>
        </row>
        <row r="92">
          <cell r="A92" t="str">
            <v>GUINEA-BISSAU</v>
          </cell>
        </row>
        <row r="93">
          <cell r="A93" t="str">
            <v>GUYANA</v>
          </cell>
        </row>
        <row r="94">
          <cell r="A94" t="str">
            <v>HAITÍ</v>
          </cell>
        </row>
        <row r="95">
          <cell r="A95" t="str">
            <v>HONDURAS</v>
          </cell>
        </row>
        <row r="96">
          <cell r="A96" t="str">
            <v>HONG KONG</v>
          </cell>
        </row>
        <row r="97">
          <cell r="A97" t="str">
            <v>HUNGRÍA</v>
          </cell>
        </row>
        <row r="98">
          <cell r="A98" t="str">
            <v>INDIA</v>
          </cell>
        </row>
        <row r="99">
          <cell r="A99" t="str">
            <v>INDONESIA</v>
          </cell>
        </row>
        <row r="100">
          <cell r="A100" t="str">
            <v>IRAK</v>
          </cell>
        </row>
        <row r="101">
          <cell r="A101" t="str">
            <v>IRLANDA</v>
          </cell>
        </row>
        <row r="102">
          <cell r="A102" t="str">
            <v>ISLA BOUVET</v>
          </cell>
        </row>
        <row r="103">
          <cell r="A103" t="str">
            <v>ISLA DE PASCUA</v>
          </cell>
        </row>
        <row r="104">
          <cell r="A104" t="str">
            <v>ISLA HEARD E ISLAS MCDONALD</v>
          </cell>
        </row>
        <row r="105">
          <cell r="A105" t="str">
            <v>ISLA NORFOLK</v>
          </cell>
        </row>
        <row r="106">
          <cell r="A106" t="str">
            <v>ISLANDIA</v>
          </cell>
        </row>
        <row r="107">
          <cell r="A107" t="str">
            <v>ISLAS CAIMÁN</v>
          </cell>
        </row>
        <row r="108">
          <cell r="A108" t="str">
            <v>ISLAS COOK</v>
          </cell>
        </row>
        <row r="109">
          <cell r="A109" t="str">
            <v>ISLAS FEROE</v>
          </cell>
        </row>
        <row r="110">
          <cell r="A110" t="str">
            <v>ISLAS FIDJI</v>
          </cell>
        </row>
        <row r="111">
          <cell r="A111" t="str">
            <v>ISLAS GEORGIA DEL SUR Y SANDWICH DEL SUR</v>
          </cell>
        </row>
        <row r="112">
          <cell r="A112" t="str">
            <v>ISLAS MALDIVAS</v>
          </cell>
        </row>
        <row r="113">
          <cell r="A113" t="str">
            <v>ISLAS MALVINAS (FALKLAND)</v>
          </cell>
        </row>
        <row r="114">
          <cell r="A114" t="str">
            <v>ISLAS MARIANAS SEPTENTRIONALES</v>
          </cell>
        </row>
        <row r="115">
          <cell r="A115" t="str">
            <v>ISLAS MARSHALL</v>
          </cell>
        </row>
        <row r="116">
          <cell r="A116" t="str">
            <v>ISLAS PERIFÉRICAS MENORES DE ESTADOS UNIDOS</v>
          </cell>
        </row>
        <row r="117">
          <cell r="A117" t="str">
            <v>ISLAS REUNIÓN</v>
          </cell>
        </row>
        <row r="118">
          <cell r="A118" t="str">
            <v>ISLAS SALOMÓN</v>
          </cell>
        </row>
        <row r="119">
          <cell r="A119" t="str">
            <v>ISLAS SEYCHELLES</v>
          </cell>
        </row>
        <row r="120">
          <cell r="A120" t="str">
            <v>ISLAS TURKS Y CAICOS</v>
          </cell>
        </row>
        <row r="121">
          <cell r="A121" t="str">
            <v>ISLAS VÍRGENES BRITÁNICAS</v>
          </cell>
        </row>
        <row r="122">
          <cell r="A122" t="str">
            <v>ISLAS VÍRGENES ESTADOUNIDENSES</v>
          </cell>
        </row>
        <row r="123">
          <cell r="A123" t="str">
            <v>ISRAEL</v>
          </cell>
        </row>
        <row r="124">
          <cell r="A124" t="str">
            <v>ITALIA</v>
          </cell>
        </row>
        <row r="125">
          <cell r="A125" t="str">
            <v>JAMAICA</v>
          </cell>
        </row>
        <row r="126">
          <cell r="A126" t="str">
            <v>JAPÁN</v>
          </cell>
        </row>
        <row r="127">
          <cell r="A127" t="str">
            <v>JORDANIA</v>
          </cell>
        </row>
        <row r="128">
          <cell r="A128" t="str">
            <v>KAZAJSTÁN</v>
          </cell>
        </row>
        <row r="129">
          <cell r="A129" t="str">
            <v>KENIA</v>
          </cell>
        </row>
        <row r="130">
          <cell r="A130" t="str">
            <v>KIRGUIZISTÁN</v>
          </cell>
        </row>
        <row r="131">
          <cell r="A131" t="str">
            <v>KIRIBATI</v>
          </cell>
        </row>
        <row r="132">
          <cell r="A132" t="str">
            <v>KUWAIT</v>
          </cell>
        </row>
        <row r="133">
          <cell r="A133" t="str">
            <v>LESOTHO</v>
          </cell>
        </row>
        <row r="134">
          <cell r="A134" t="str">
            <v>LETONIA</v>
          </cell>
        </row>
        <row r="135">
          <cell r="A135" t="str">
            <v>LÍBANO</v>
          </cell>
        </row>
        <row r="136">
          <cell r="A136" t="str">
            <v>LIBERIA</v>
          </cell>
        </row>
        <row r="137">
          <cell r="A137" t="str">
            <v>LIBIA</v>
          </cell>
        </row>
        <row r="138">
          <cell r="A138" t="str">
            <v>LIECHTENSTEIN</v>
          </cell>
        </row>
        <row r="139">
          <cell r="A139" t="str">
            <v>LITUANIA</v>
          </cell>
        </row>
        <row r="140">
          <cell r="A140" t="str">
            <v>LUXEMBURGO</v>
          </cell>
        </row>
        <row r="141">
          <cell r="A141" t="str">
            <v>MACAO</v>
          </cell>
        </row>
        <row r="142">
          <cell r="A142" t="str">
            <v>MADAGASCAR</v>
          </cell>
        </row>
        <row r="143">
          <cell r="A143" t="str">
            <v>MALASIA</v>
          </cell>
        </row>
        <row r="144">
          <cell r="A144" t="str">
            <v>MALAWI</v>
          </cell>
        </row>
        <row r="145">
          <cell r="A145" t="str">
            <v>MALI</v>
          </cell>
        </row>
        <row r="146">
          <cell r="A146" t="str">
            <v>MALTA</v>
          </cell>
        </row>
        <row r="147">
          <cell r="A147" t="str">
            <v>MARRUECOS</v>
          </cell>
        </row>
        <row r="148">
          <cell r="A148" t="str">
            <v>MARTINICA</v>
          </cell>
        </row>
        <row r="149">
          <cell r="A149" t="str">
            <v>MAURICIO</v>
          </cell>
        </row>
        <row r="150">
          <cell r="A150" t="str">
            <v>MAURITANIA</v>
          </cell>
        </row>
        <row r="151">
          <cell r="A151" t="str">
            <v>MAYOTTE</v>
          </cell>
        </row>
        <row r="152">
          <cell r="A152" t="str">
            <v>MÉJICO</v>
          </cell>
        </row>
        <row r="153">
          <cell r="A153" t="str">
            <v>MÓNACO</v>
          </cell>
        </row>
        <row r="154">
          <cell r="A154" t="str">
            <v>MONGOLIA</v>
          </cell>
        </row>
        <row r="155">
          <cell r="A155" t="str">
            <v>MONTSERRAT</v>
          </cell>
        </row>
        <row r="156">
          <cell r="A156" t="str">
            <v>MOZAMBIQUE</v>
          </cell>
        </row>
        <row r="157">
          <cell r="A157" t="str">
            <v>MYANMAR</v>
          </cell>
        </row>
        <row r="158">
          <cell r="A158" t="str">
            <v>NAMIBIA</v>
          </cell>
        </row>
        <row r="159">
          <cell r="A159" t="str">
            <v>NAURU</v>
          </cell>
        </row>
        <row r="160">
          <cell r="A160" t="str">
            <v>NEPAL</v>
          </cell>
        </row>
        <row r="161">
          <cell r="A161" t="str">
            <v>NICARAGUA</v>
          </cell>
        </row>
        <row r="162">
          <cell r="A162" t="str">
            <v>NÍGER</v>
          </cell>
        </row>
        <row r="163">
          <cell r="A163" t="str">
            <v>NIGERIA</v>
          </cell>
        </row>
        <row r="164">
          <cell r="A164" t="str">
            <v>NIUE</v>
          </cell>
        </row>
        <row r="165">
          <cell r="A165" t="str">
            <v>NORUEGA</v>
          </cell>
        </row>
        <row r="166">
          <cell r="A166" t="str">
            <v>NUEVA CALEDONIA</v>
          </cell>
        </row>
        <row r="167">
          <cell r="A167" t="str">
            <v>NUEVA ZELANDA</v>
          </cell>
        </row>
        <row r="168">
          <cell r="A168" t="str">
            <v>OMÁN</v>
          </cell>
        </row>
        <row r="169">
          <cell r="A169" t="str">
            <v>PAÍSES BAJOS</v>
          </cell>
        </row>
        <row r="170">
          <cell r="A170" t="str">
            <v>PAKISTÁN</v>
          </cell>
        </row>
        <row r="171">
          <cell r="A171" t="str">
            <v>PALAU</v>
          </cell>
        </row>
        <row r="172">
          <cell r="A172" t="str">
            <v>PANAMÁ</v>
          </cell>
        </row>
        <row r="173">
          <cell r="A173" t="str">
            <v>PAPUA-NUEVA GUINEA</v>
          </cell>
        </row>
        <row r="174">
          <cell r="A174" t="str">
            <v>PARAGUAY</v>
          </cell>
        </row>
        <row r="175">
          <cell r="A175" t="str">
            <v>PERÚ</v>
          </cell>
        </row>
        <row r="176">
          <cell r="A176" t="str">
            <v>PITCAIRN</v>
          </cell>
        </row>
        <row r="177">
          <cell r="A177" t="str">
            <v>POLINESIA FRANCESA</v>
          </cell>
        </row>
        <row r="178">
          <cell r="A178" t="str">
            <v>POLONIA</v>
          </cell>
        </row>
        <row r="179">
          <cell r="A179" t="str">
            <v>PORTUGAL</v>
          </cell>
        </row>
        <row r="180">
          <cell r="A180" t="str">
            <v>PUERTO RICO</v>
          </cell>
        </row>
        <row r="181">
          <cell r="A181" t="str">
            <v>QATAR</v>
          </cell>
        </row>
        <row r="182">
          <cell r="A182" t="str">
            <v>REINO UNIDO</v>
          </cell>
        </row>
        <row r="183">
          <cell r="A183" t="str">
            <v>REPÚBLICA ÁRABE SIRIA</v>
          </cell>
        </row>
        <row r="184">
          <cell r="A184" t="str">
            <v>REPÚBLICA CENTROAFRICANA</v>
          </cell>
        </row>
        <row r="185">
          <cell r="A185" t="str">
            <v>REPÚBLICA CHECA</v>
          </cell>
        </row>
        <row r="186">
          <cell r="A186" t="str">
            <v>REPÚBLICA DE COREA</v>
          </cell>
        </row>
        <row r="187">
          <cell r="A187" t="str">
            <v>REPÚBLICA DE MOLDAVIA</v>
          </cell>
        </row>
        <row r="188">
          <cell r="A188" t="str">
            <v>REPÚBLICA DE TANZANIA</v>
          </cell>
        </row>
        <row r="189">
          <cell r="A189" t="str">
            <v>REPÚBLICA DEL CONGO</v>
          </cell>
        </row>
        <row r="190">
          <cell r="A190" t="str">
            <v>REPÚBLICA DEMOCRÁTICA DEL CONGO</v>
          </cell>
        </row>
        <row r="191">
          <cell r="A191" t="str">
            <v>REPÚBLICA DEMOCRÁTICA POPULAR DE COREA</v>
          </cell>
        </row>
        <row r="192">
          <cell r="A192" t="str">
            <v>REPÚBLICA DEMOCRÁTICA POPULAR DE LAOS</v>
          </cell>
        </row>
        <row r="193">
          <cell r="A193" t="str">
            <v>REPÚBLICA DOMINICANA</v>
          </cell>
        </row>
        <row r="194">
          <cell r="A194" t="str">
            <v>REPÚBLICA ISLÁMICA DE IRÁN</v>
          </cell>
        </row>
        <row r="195">
          <cell r="A195" t="str">
            <v>RUANDA</v>
          </cell>
        </row>
        <row r="196">
          <cell r="A196" t="str">
            <v>RUMANIA</v>
          </cell>
        </row>
        <row r="197">
          <cell r="A197" t="str">
            <v>SAHARA OCCIDENTAL</v>
          </cell>
        </row>
        <row r="198">
          <cell r="A198" t="str">
            <v>SAINT KITTS Y NEVIS</v>
          </cell>
        </row>
        <row r="199">
          <cell r="A199" t="str">
            <v>SAINT PIERRE Y MIQUELON</v>
          </cell>
        </row>
        <row r="200">
          <cell r="A200" t="str">
            <v>SAMOA</v>
          </cell>
        </row>
        <row r="201">
          <cell r="A201" t="str">
            <v>SAMOA ESTADOUNIDENSE</v>
          </cell>
        </row>
        <row r="202">
          <cell r="A202" t="str">
            <v>SAN MARINO</v>
          </cell>
        </row>
        <row r="203">
          <cell r="A203" t="str">
            <v>SAN VICENTE Y GRANADINAS</v>
          </cell>
        </row>
        <row r="204">
          <cell r="A204" t="str">
            <v>SANTA ELENA</v>
          </cell>
        </row>
        <row r="205">
          <cell r="A205" t="str">
            <v>SANTA LUCÍA</v>
          </cell>
        </row>
        <row r="206">
          <cell r="A206" t="str">
            <v>SANTA SEDE (ESTADO DE LA CIUDAD DEL VATICANO)</v>
          </cell>
        </row>
        <row r="207">
          <cell r="A207" t="str">
            <v>SANTO TOMÉ Y PRÍNCIPE</v>
          </cell>
        </row>
        <row r="208">
          <cell r="A208" t="str">
            <v>SENEGAL</v>
          </cell>
        </row>
        <row r="209">
          <cell r="A209" t="str">
            <v>SERBIA Y MONTENEGRO</v>
          </cell>
        </row>
        <row r="210">
          <cell r="A210" t="str">
            <v>SIERRA LEONA</v>
          </cell>
        </row>
        <row r="211">
          <cell r="A211" t="str">
            <v>SINGAPUR</v>
          </cell>
        </row>
        <row r="212">
          <cell r="A212" t="str">
            <v>SOMALIA</v>
          </cell>
        </row>
        <row r="213">
          <cell r="A213" t="str">
            <v>SRI LANKA</v>
          </cell>
        </row>
        <row r="214">
          <cell r="A214" t="str">
            <v>SUAZILANDIA</v>
          </cell>
        </row>
        <row r="215">
          <cell r="A215" t="str">
            <v>SUDÁFRICA</v>
          </cell>
        </row>
        <row r="216">
          <cell r="A216" t="str">
            <v>SUDÁN</v>
          </cell>
        </row>
        <row r="217">
          <cell r="A217" t="str">
            <v>SUECIA</v>
          </cell>
        </row>
        <row r="218">
          <cell r="A218" t="str">
            <v>SUIZA</v>
          </cell>
        </row>
        <row r="219">
          <cell r="A219" t="str">
            <v>SURINAM</v>
          </cell>
        </row>
        <row r="220">
          <cell r="A220" t="str">
            <v>SVALVARD Y JAN MAYEN</v>
          </cell>
        </row>
        <row r="221">
          <cell r="A221" t="str">
            <v>TADJIKISTÁN</v>
          </cell>
        </row>
        <row r="222">
          <cell r="A222" t="str">
            <v>TAILANDIA</v>
          </cell>
        </row>
        <row r="223">
          <cell r="A223" t="str">
            <v>TAIYUAN, PROVINCIA DE CHINA</v>
          </cell>
        </row>
        <row r="224">
          <cell r="A224" t="str">
            <v>TERRITORIO BRITÁNICO DEL OCÉANO ÍNDICO</v>
          </cell>
        </row>
        <row r="225">
          <cell r="A225" t="str">
            <v>TERRITORIO PALESTINO OCUPADO</v>
          </cell>
        </row>
        <row r="226">
          <cell r="A226" t="str">
            <v>TERRITORIOS DEL SUR DE FRANCIA</v>
          </cell>
        </row>
        <row r="227">
          <cell r="A227" t="str">
            <v>TIMOR-LESTE</v>
          </cell>
        </row>
        <row r="228">
          <cell r="A228" t="str">
            <v>TOGO</v>
          </cell>
        </row>
        <row r="229">
          <cell r="A229" t="str">
            <v>TOKELAU</v>
          </cell>
        </row>
        <row r="230">
          <cell r="A230" t="str">
            <v>TONGA</v>
          </cell>
        </row>
        <row r="231">
          <cell r="A231" t="str">
            <v>TRINIDAD Y TOBAGO</v>
          </cell>
        </row>
        <row r="232">
          <cell r="A232" t="str">
            <v>TÚNEZ</v>
          </cell>
        </row>
        <row r="233">
          <cell r="A233" t="str">
            <v>TURKMENISTÁN</v>
          </cell>
        </row>
        <row r="234">
          <cell r="A234" t="str">
            <v>TURQUÍA</v>
          </cell>
        </row>
        <row r="235">
          <cell r="A235" t="str">
            <v>TUVALU</v>
          </cell>
        </row>
        <row r="236">
          <cell r="A236" t="str">
            <v>UCRANIA</v>
          </cell>
        </row>
        <row r="237">
          <cell r="A237" t="str">
            <v>UGANDA</v>
          </cell>
        </row>
        <row r="238">
          <cell r="A238" t="str">
            <v>URUGUAY</v>
          </cell>
        </row>
        <row r="239">
          <cell r="A239" t="str">
            <v>UZBEKISTÁN</v>
          </cell>
        </row>
        <row r="240">
          <cell r="A240" t="str">
            <v>VANUATU</v>
          </cell>
        </row>
        <row r="241">
          <cell r="A241" t="str">
            <v>VENEZUELA</v>
          </cell>
        </row>
        <row r="242">
          <cell r="A242" t="str">
            <v>VIETNAM</v>
          </cell>
        </row>
        <row r="243">
          <cell r="A243" t="str">
            <v>WALLIS Y FUTUNA</v>
          </cell>
        </row>
        <row r="244">
          <cell r="A244" t="str">
            <v>YEMEN</v>
          </cell>
        </row>
        <row r="245">
          <cell r="A245" t="str">
            <v>ZAMBIA</v>
          </cell>
        </row>
        <row r="246">
          <cell r="A246" t="str">
            <v>ZIMBABWE</v>
          </cell>
        </row>
        <row r="248">
          <cell r="A248" t="str">
            <v>Emisiones</v>
          </cell>
        </row>
        <row r="249">
          <cell r="A249" t="str">
            <v>Reembolsos</v>
          </cell>
        </row>
        <row r="250">
          <cell r="A250" t="str">
            <v>Cancelaciones</v>
          </cell>
        </row>
      </sheetData>
      <sheetData sheetId="80" refreshError="1"/>
      <sheetData sheetId="81" refreshError="1"/>
      <sheetData sheetId="8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s"/>
      <sheetName val="Module1"/>
      <sheetName val="Sheet1"/>
      <sheetName val="Input"/>
      <sheetName val="Income Statement"/>
      <sheetName val="Yields%"/>
      <sheetName val="NII Detail"/>
      <sheetName val="NIE Detail "/>
      <sheetName val="Period End Bal Sht"/>
      <sheetName val="Module5"/>
      <sheetName val="Dates"/>
      <sheetName val="Index"/>
      <sheetName val="Inc Stmt MTD"/>
      <sheetName val="IS Comments"/>
      <sheetName val="Inc Stmt YTD"/>
      <sheetName val="IS Trend"/>
      <sheetName val="ISTrend Graph"/>
      <sheetName val="Balance Sheet"/>
      <sheetName val="Balance Sheet (2)"/>
      <sheetName val="Loans-Avg Graph"/>
      <sheetName val="Loans-Avg"/>
      <sheetName val="Loan Mix"/>
      <sheetName val="Deposits-Avg Graph"/>
      <sheetName val="Deposits-Avg"/>
      <sheetName val="Deposit Mix"/>
      <sheetName val="Net Interest Inc"/>
      <sheetName val="Rate Volume Summary"/>
      <sheetName val="ACT vs Bud"/>
      <sheetName val="Cust Spread"/>
      <sheetName val="Non Interest Inc"/>
      <sheetName val="Expenses"/>
      <sheetName val="Op Profit &amp; Eff"/>
      <sheetName val="Prov Efforts"/>
      <sheetName val="Credit Evol"/>
      <sheetName val="NPL Trends"/>
      <sheetName val="NCO Evol"/>
      <sheetName val="BUs MTD"/>
      <sheetName val="BUs YTD"/>
      <sheetName val="FTEs"/>
      <sheetName val="Inc Stmt"/>
      <sheetName val="Cover"/>
      <sheetName val="Actual"/>
      <sheetName val="Budget"/>
      <sheetName val="Variance"/>
      <sheetName val="Cover 2"/>
      <sheetName val="Act YTD"/>
      <sheetName val="Budget YTD"/>
      <sheetName val="Variance 2"/>
      <sheetName val="P&amp;L-Core Only"/>
      <sheetName val="PrintOrder"/>
    </sheetNames>
    <sheetDataSet>
      <sheetData sheetId="0" refreshError="1">
        <row r="3">
          <cell r="G3">
            <v>5</v>
          </cell>
        </row>
        <row r="13">
          <cell r="D13" t="str">
            <v>06</v>
          </cell>
        </row>
        <row r="18">
          <cell r="D18" t="str">
            <v>01</v>
          </cell>
        </row>
        <row r="125">
          <cell r="C125" t="str">
            <v>Actual</v>
          </cell>
        </row>
        <row r="149">
          <cell r="G149" t="str">
            <v>Annual</v>
          </cell>
        </row>
        <row r="150">
          <cell r="Q150" t="str">
            <v>January</v>
          </cell>
          <cell r="R150" t="str">
            <v>January YTD</v>
          </cell>
          <cell r="S150">
            <v>31</v>
          </cell>
          <cell r="T150">
            <v>31</v>
          </cell>
          <cell r="U150" t="str">
            <v>January</v>
          </cell>
          <cell r="V150">
            <v>1</v>
          </cell>
        </row>
        <row r="151">
          <cell r="D151">
            <v>2001</v>
          </cell>
          <cell r="Q151" t="str">
            <v>February</v>
          </cell>
          <cell r="R151" t="str">
            <v>February YTD</v>
          </cell>
          <cell r="S151">
            <v>29</v>
          </cell>
          <cell r="T151">
            <v>60</v>
          </cell>
          <cell r="U151" t="str">
            <v>February</v>
          </cell>
          <cell r="V151">
            <v>1</v>
          </cell>
        </row>
        <row r="152">
          <cell r="D152">
            <v>2002</v>
          </cell>
          <cell r="E152">
            <v>4</v>
          </cell>
          <cell r="Q152" t="str">
            <v>March</v>
          </cell>
          <cell r="R152" t="str">
            <v>March YTD</v>
          </cell>
          <cell r="S152">
            <v>31</v>
          </cell>
          <cell r="T152">
            <v>91</v>
          </cell>
          <cell r="U152" t="str">
            <v>March</v>
          </cell>
          <cell r="V152">
            <v>1</v>
          </cell>
        </row>
        <row r="153">
          <cell r="D153">
            <v>2003</v>
          </cell>
          <cell r="Q153" t="str">
            <v>April</v>
          </cell>
          <cell r="R153" t="str">
            <v>April YTD</v>
          </cell>
          <cell r="S153">
            <v>30</v>
          </cell>
          <cell r="T153">
            <v>121</v>
          </cell>
          <cell r="U153" t="str">
            <v>April</v>
          </cell>
          <cell r="V153">
            <v>1</v>
          </cell>
        </row>
        <row r="154">
          <cell r="D154">
            <v>2004</v>
          </cell>
          <cell r="Q154" t="str">
            <v>May</v>
          </cell>
          <cell r="R154" t="str">
            <v>May YTD</v>
          </cell>
          <cell r="S154">
            <v>31</v>
          </cell>
          <cell r="T154">
            <v>152</v>
          </cell>
          <cell r="U154" t="str">
            <v>May</v>
          </cell>
          <cell r="V154">
            <v>1</v>
          </cell>
        </row>
        <row r="155">
          <cell r="D155">
            <v>2005</v>
          </cell>
          <cell r="Q155" t="str">
            <v>June</v>
          </cell>
          <cell r="R155" t="str">
            <v>June YTD</v>
          </cell>
          <cell r="S155">
            <v>30</v>
          </cell>
          <cell r="T155">
            <v>182</v>
          </cell>
          <cell r="U155" t="str">
            <v>June</v>
          </cell>
          <cell r="V155">
            <v>1</v>
          </cell>
        </row>
        <row r="156">
          <cell r="D156">
            <v>2006</v>
          </cell>
          <cell r="Q156" t="str">
            <v>July</v>
          </cell>
          <cell r="R156" t="str">
            <v>July YTD</v>
          </cell>
          <cell r="S156">
            <v>31</v>
          </cell>
          <cell r="T156">
            <v>213</v>
          </cell>
          <cell r="U156" t="str">
            <v>July</v>
          </cell>
          <cell r="V156">
            <v>1</v>
          </cell>
        </row>
        <row r="157">
          <cell r="D157">
            <v>2007</v>
          </cell>
          <cell r="Q157" t="str">
            <v>August</v>
          </cell>
          <cell r="R157" t="str">
            <v>August YTD</v>
          </cell>
          <cell r="S157">
            <v>31</v>
          </cell>
          <cell r="T157">
            <v>244</v>
          </cell>
          <cell r="U157" t="str">
            <v>August</v>
          </cell>
          <cell r="V157">
            <v>1</v>
          </cell>
        </row>
        <row r="158">
          <cell r="D158">
            <v>2008</v>
          </cell>
          <cell r="Q158" t="str">
            <v>September</v>
          </cell>
          <cell r="R158" t="str">
            <v>September YTD</v>
          </cell>
          <cell r="S158">
            <v>30</v>
          </cell>
          <cell r="T158">
            <v>274</v>
          </cell>
          <cell r="U158" t="str">
            <v>September</v>
          </cell>
          <cell r="V158">
            <v>1</v>
          </cell>
        </row>
        <row r="159">
          <cell r="Q159" t="str">
            <v>October</v>
          </cell>
          <cell r="R159" t="str">
            <v>October YTD</v>
          </cell>
          <cell r="S159">
            <v>31</v>
          </cell>
          <cell r="T159">
            <v>305</v>
          </cell>
          <cell r="U159" t="str">
            <v>October</v>
          </cell>
          <cell r="V159">
            <v>1</v>
          </cell>
        </row>
        <row r="160">
          <cell r="Q160" t="str">
            <v>November</v>
          </cell>
          <cell r="R160" t="str">
            <v>November YTD</v>
          </cell>
          <cell r="S160">
            <v>30</v>
          </cell>
          <cell r="T160">
            <v>335</v>
          </cell>
          <cell r="U160" t="str">
            <v>November</v>
          </cell>
          <cell r="V160">
            <v>1</v>
          </cell>
        </row>
        <row r="161">
          <cell r="Q161" t="str">
            <v>December</v>
          </cell>
          <cell r="R161" t="str">
            <v>December YTD</v>
          </cell>
          <cell r="S161">
            <v>31</v>
          </cell>
          <cell r="T161">
            <v>366</v>
          </cell>
          <cell r="U161" t="str">
            <v>December</v>
          </cell>
          <cell r="V161">
            <v>1</v>
          </cell>
        </row>
        <row r="162">
          <cell r="Q162" t="str">
            <v>Annual</v>
          </cell>
          <cell r="S162">
            <v>366</v>
          </cell>
          <cell r="T162">
            <v>366</v>
          </cell>
          <cell r="U162" t="str">
            <v>Annual</v>
          </cell>
          <cell r="V162">
            <v>12</v>
          </cell>
        </row>
        <row r="163">
          <cell r="Q163" t="str">
            <v>January</v>
          </cell>
          <cell r="R163" t="str">
            <v>January YTD</v>
          </cell>
          <cell r="S163">
            <v>31</v>
          </cell>
          <cell r="T163">
            <v>31</v>
          </cell>
          <cell r="U163" t="str">
            <v>January YTD</v>
          </cell>
          <cell r="V163">
            <v>1</v>
          </cell>
        </row>
        <row r="164">
          <cell r="Q164" t="str">
            <v>February</v>
          </cell>
          <cell r="R164" t="str">
            <v>February YTD</v>
          </cell>
          <cell r="S164">
            <v>28</v>
          </cell>
          <cell r="T164">
            <v>59</v>
          </cell>
          <cell r="U164" t="str">
            <v>February YTD</v>
          </cell>
          <cell r="V164">
            <v>2</v>
          </cell>
        </row>
        <row r="165">
          <cell r="Q165" t="str">
            <v>March</v>
          </cell>
          <cell r="R165" t="str">
            <v>March YTD</v>
          </cell>
          <cell r="S165">
            <v>31</v>
          </cell>
          <cell r="T165">
            <v>90</v>
          </cell>
          <cell r="U165" t="str">
            <v>March YTD</v>
          </cell>
          <cell r="V165">
            <v>3</v>
          </cell>
        </row>
        <row r="166">
          <cell r="Q166" t="str">
            <v>April</v>
          </cell>
          <cell r="R166" t="str">
            <v>April YTD</v>
          </cell>
          <cell r="S166">
            <v>30</v>
          </cell>
          <cell r="T166">
            <v>120</v>
          </cell>
          <cell r="U166" t="str">
            <v>April YTD</v>
          </cell>
          <cell r="V166">
            <v>4</v>
          </cell>
        </row>
        <row r="167">
          <cell r="Q167" t="str">
            <v>May</v>
          </cell>
          <cell r="R167" t="str">
            <v>May YTD</v>
          </cell>
          <cell r="S167">
            <v>31</v>
          </cell>
          <cell r="T167">
            <v>151</v>
          </cell>
          <cell r="U167" t="str">
            <v>May YTD</v>
          </cell>
          <cell r="V167">
            <v>5</v>
          </cell>
        </row>
        <row r="168">
          <cell r="Q168" t="str">
            <v>June</v>
          </cell>
          <cell r="R168" t="str">
            <v>June YTD</v>
          </cell>
          <cell r="S168">
            <v>30</v>
          </cell>
          <cell r="T168">
            <v>181</v>
          </cell>
          <cell r="U168" t="str">
            <v>June YTD</v>
          </cell>
          <cell r="V168">
            <v>6</v>
          </cell>
        </row>
        <row r="169">
          <cell r="Q169" t="str">
            <v>July</v>
          </cell>
          <cell r="R169" t="str">
            <v>July YTD</v>
          </cell>
          <cell r="S169">
            <v>31</v>
          </cell>
          <cell r="T169">
            <v>212</v>
          </cell>
          <cell r="U169" t="str">
            <v>July YTD</v>
          </cell>
          <cell r="V169">
            <v>7</v>
          </cell>
        </row>
        <row r="170">
          <cell r="Q170" t="str">
            <v>August</v>
          </cell>
          <cell r="R170" t="str">
            <v>August YTD</v>
          </cell>
          <cell r="S170">
            <v>31</v>
          </cell>
          <cell r="T170">
            <v>243</v>
          </cell>
          <cell r="U170" t="str">
            <v>August YTD</v>
          </cell>
          <cell r="V170">
            <v>8</v>
          </cell>
        </row>
        <row r="171">
          <cell r="Q171" t="str">
            <v>September</v>
          </cell>
          <cell r="R171" t="str">
            <v>September YTD</v>
          </cell>
          <cell r="S171">
            <v>30</v>
          </cell>
          <cell r="T171">
            <v>273</v>
          </cell>
          <cell r="U171" t="str">
            <v>September YTD</v>
          </cell>
          <cell r="V171">
            <v>9</v>
          </cell>
        </row>
        <row r="172">
          <cell r="Q172" t="str">
            <v>October</v>
          </cell>
          <cell r="R172" t="str">
            <v>October YTD</v>
          </cell>
          <cell r="S172">
            <v>31</v>
          </cell>
          <cell r="T172">
            <v>304</v>
          </cell>
          <cell r="U172" t="str">
            <v>October YTD</v>
          </cell>
          <cell r="V172">
            <v>10</v>
          </cell>
        </row>
        <row r="173">
          <cell r="Q173" t="str">
            <v>November</v>
          </cell>
          <cell r="R173" t="str">
            <v>November YTD</v>
          </cell>
          <cell r="S173">
            <v>30</v>
          </cell>
          <cell r="T173">
            <v>334</v>
          </cell>
          <cell r="U173" t="str">
            <v>November YTD</v>
          </cell>
          <cell r="V173">
            <v>11</v>
          </cell>
        </row>
        <row r="174">
          <cell r="Q174" t="str">
            <v>December</v>
          </cell>
          <cell r="R174" t="str">
            <v>December YTD</v>
          </cell>
          <cell r="S174">
            <v>31</v>
          </cell>
          <cell r="T174">
            <v>365</v>
          </cell>
          <cell r="U174" t="str">
            <v>December YTD</v>
          </cell>
          <cell r="V174">
            <v>12</v>
          </cell>
        </row>
        <row r="175">
          <cell r="Q175" t="str">
            <v>Annual</v>
          </cell>
          <cell r="S175">
            <v>365</v>
          </cell>
          <cell r="T175">
            <v>365</v>
          </cell>
        </row>
        <row r="176">
          <cell r="Q176" t="str">
            <v>January</v>
          </cell>
          <cell r="R176" t="str">
            <v>January YTD</v>
          </cell>
          <cell r="S176">
            <v>31</v>
          </cell>
          <cell r="T176">
            <v>31</v>
          </cell>
        </row>
        <row r="177">
          <cell r="Q177" t="str">
            <v>February</v>
          </cell>
          <cell r="R177" t="str">
            <v>February YTD</v>
          </cell>
          <cell r="S177">
            <v>28</v>
          </cell>
          <cell r="T177">
            <v>59</v>
          </cell>
        </row>
        <row r="178">
          <cell r="Q178" t="str">
            <v>March</v>
          </cell>
          <cell r="R178" t="str">
            <v>March YTD</v>
          </cell>
          <cell r="S178">
            <v>31</v>
          </cell>
          <cell r="T178">
            <v>90</v>
          </cell>
        </row>
        <row r="179">
          <cell r="Q179" t="str">
            <v>April</v>
          </cell>
          <cell r="R179" t="str">
            <v>April YTD</v>
          </cell>
          <cell r="S179">
            <v>30</v>
          </cell>
          <cell r="T179">
            <v>120</v>
          </cell>
        </row>
        <row r="180">
          <cell r="Q180" t="str">
            <v>May</v>
          </cell>
          <cell r="R180" t="str">
            <v>May YTD</v>
          </cell>
          <cell r="S180">
            <v>31</v>
          </cell>
          <cell r="T180">
            <v>151</v>
          </cell>
        </row>
        <row r="181">
          <cell r="Q181" t="str">
            <v>June</v>
          </cell>
          <cell r="R181" t="str">
            <v>June YTD</v>
          </cell>
          <cell r="S181">
            <v>30</v>
          </cell>
          <cell r="T181">
            <v>181</v>
          </cell>
        </row>
        <row r="182">
          <cell r="Q182" t="str">
            <v>July</v>
          </cell>
          <cell r="R182" t="str">
            <v>July YTD</v>
          </cell>
          <cell r="S182">
            <v>31</v>
          </cell>
          <cell r="T182">
            <v>212</v>
          </cell>
        </row>
        <row r="183">
          <cell r="Q183" t="str">
            <v>August</v>
          </cell>
          <cell r="R183" t="str">
            <v>August YTD</v>
          </cell>
          <cell r="S183">
            <v>31</v>
          </cell>
          <cell r="T183">
            <v>243</v>
          </cell>
        </row>
        <row r="184">
          <cell r="Q184" t="str">
            <v>September</v>
          </cell>
          <cell r="R184" t="str">
            <v>September YTD</v>
          </cell>
          <cell r="S184">
            <v>30</v>
          </cell>
          <cell r="T184">
            <v>273</v>
          </cell>
        </row>
        <row r="185">
          <cell r="Q185" t="str">
            <v>October</v>
          </cell>
          <cell r="R185" t="str">
            <v>October YTD</v>
          </cell>
          <cell r="S185">
            <v>31</v>
          </cell>
          <cell r="T185">
            <v>304</v>
          </cell>
        </row>
        <row r="186">
          <cell r="Q186" t="str">
            <v>November</v>
          </cell>
          <cell r="R186" t="str">
            <v>November YTD</v>
          </cell>
          <cell r="S186">
            <v>30</v>
          </cell>
          <cell r="T186">
            <v>334</v>
          </cell>
        </row>
        <row r="187">
          <cell r="Q187" t="str">
            <v>December</v>
          </cell>
          <cell r="R187" t="str">
            <v>December YTD</v>
          </cell>
          <cell r="S187">
            <v>31</v>
          </cell>
          <cell r="T187">
            <v>365</v>
          </cell>
        </row>
        <row r="188">
          <cell r="Q188" t="str">
            <v>Annual</v>
          </cell>
          <cell r="S188">
            <v>365</v>
          </cell>
          <cell r="T188">
            <v>365</v>
          </cell>
        </row>
        <row r="189">
          <cell r="Q189" t="str">
            <v>January</v>
          </cell>
          <cell r="R189" t="str">
            <v>January YTD</v>
          </cell>
          <cell r="S189">
            <v>31</v>
          </cell>
          <cell r="T189">
            <v>31</v>
          </cell>
        </row>
        <row r="190">
          <cell r="Q190" t="str">
            <v>February</v>
          </cell>
          <cell r="R190" t="str">
            <v>February YTD</v>
          </cell>
          <cell r="S190">
            <v>28</v>
          </cell>
          <cell r="T190">
            <v>59</v>
          </cell>
        </row>
        <row r="191">
          <cell r="Q191" t="str">
            <v>March</v>
          </cell>
          <cell r="R191" t="str">
            <v>March YTD</v>
          </cell>
          <cell r="S191">
            <v>31</v>
          </cell>
          <cell r="T191">
            <v>90</v>
          </cell>
        </row>
        <row r="192">
          <cell r="Q192" t="str">
            <v>April</v>
          </cell>
          <cell r="R192" t="str">
            <v>April YTD</v>
          </cell>
          <cell r="S192">
            <v>30</v>
          </cell>
          <cell r="T192">
            <v>120</v>
          </cell>
        </row>
        <row r="193">
          <cell r="Q193" t="str">
            <v>May</v>
          </cell>
          <cell r="R193" t="str">
            <v>May YTD</v>
          </cell>
          <cell r="S193">
            <v>31</v>
          </cell>
          <cell r="T193">
            <v>151</v>
          </cell>
        </row>
        <row r="194">
          <cell r="Q194" t="str">
            <v>June</v>
          </cell>
          <cell r="R194" t="str">
            <v>June YTD</v>
          </cell>
          <cell r="S194">
            <v>30</v>
          </cell>
          <cell r="T194">
            <v>181</v>
          </cell>
        </row>
        <row r="195">
          <cell r="Q195" t="str">
            <v>July</v>
          </cell>
          <cell r="R195" t="str">
            <v>July YTD</v>
          </cell>
          <cell r="S195">
            <v>31</v>
          </cell>
          <cell r="T195">
            <v>212</v>
          </cell>
        </row>
        <row r="196">
          <cell r="Q196" t="str">
            <v>August</v>
          </cell>
          <cell r="R196" t="str">
            <v>August YTD</v>
          </cell>
          <cell r="S196">
            <v>31</v>
          </cell>
          <cell r="T196">
            <v>243</v>
          </cell>
        </row>
        <row r="197">
          <cell r="Q197" t="str">
            <v>September</v>
          </cell>
          <cell r="R197" t="str">
            <v>September YTD</v>
          </cell>
          <cell r="S197">
            <v>30</v>
          </cell>
          <cell r="T197">
            <v>273</v>
          </cell>
        </row>
        <row r="198">
          <cell r="Q198" t="str">
            <v>October</v>
          </cell>
          <cell r="R198" t="str">
            <v>October YTD</v>
          </cell>
          <cell r="S198">
            <v>31</v>
          </cell>
          <cell r="T198">
            <v>304</v>
          </cell>
        </row>
        <row r="199">
          <cell r="Q199" t="str">
            <v>November</v>
          </cell>
          <cell r="R199" t="str">
            <v>November YTD</v>
          </cell>
          <cell r="S199">
            <v>30</v>
          </cell>
          <cell r="T199">
            <v>334</v>
          </cell>
        </row>
        <row r="200">
          <cell r="Q200" t="str">
            <v>December</v>
          </cell>
          <cell r="R200" t="str">
            <v>December YTD</v>
          </cell>
          <cell r="S200">
            <v>31</v>
          </cell>
          <cell r="T200">
            <v>365</v>
          </cell>
        </row>
        <row r="201">
          <cell r="Q201" t="str">
            <v>Annual</v>
          </cell>
          <cell r="S201">
            <v>365</v>
          </cell>
          <cell r="T201">
            <v>365</v>
          </cell>
        </row>
        <row r="202">
          <cell r="Q202" t="str">
            <v>January</v>
          </cell>
          <cell r="R202" t="str">
            <v>January YTD</v>
          </cell>
          <cell r="S202">
            <v>30</v>
          </cell>
          <cell r="T202">
            <v>30</v>
          </cell>
        </row>
        <row r="203">
          <cell r="Q203" t="str">
            <v>February</v>
          </cell>
          <cell r="R203" t="str">
            <v>February YTD</v>
          </cell>
          <cell r="S203">
            <v>30</v>
          </cell>
          <cell r="T203">
            <v>60</v>
          </cell>
        </row>
        <row r="204">
          <cell r="Q204" t="str">
            <v>March</v>
          </cell>
          <cell r="R204" t="str">
            <v>March YTD</v>
          </cell>
          <cell r="S204">
            <v>30</v>
          </cell>
          <cell r="T204">
            <v>90</v>
          </cell>
        </row>
        <row r="205">
          <cell r="Q205" t="str">
            <v>April</v>
          </cell>
          <cell r="R205" t="str">
            <v>April YTD</v>
          </cell>
          <cell r="S205">
            <v>30</v>
          </cell>
          <cell r="T205">
            <v>120</v>
          </cell>
        </row>
        <row r="206">
          <cell r="Q206" t="str">
            <v>May</v>
          </cell>
          <cell r="R206" t="str">
            <v>May YTD</v>
          </cell>
          <cell r="S206">
            <v>30</v>
          </cell>
          <cell r="T206">
            <v>150</v>
          </cell>
        </row>
        <row r="207">
          <cell r="Q207" t="str">
            <v>June</v>
          </cell>
          <cell r="R207" t="str">
            <v>June YTD</v>
          </cell>
          <cell r="S207">
            <v>30</v>
          </cell>
          <cell r="T207">
            <v>180</v>
          </cell>
        </row>
        <row r="208">
          <cell r="Q208" t="str">
            <v>July</v>
          </cell>
          <cell r="R208" t="str">
            <v>July YTD</v>
          </cell>
          <cell r="S208">
            <v>30</v>
          </cell>
          <cell r="T208">
            <v>210</v>
          </cell>
        </row>
        <row r="209">
          <cell r="Q209" t="str">
            <v>August</v>
          </cell>
          <cell r="R209" t="str">
            <v>August YTD</v>
          </cell>
          <cell r="S209">
            <v>30</v>
          </cell>
          <cell r="T209">
            <v>240</v>
          </cell>
        </row>
        <row r="210">
          <cell r="Q210" t="str">
            <v>September</v>
          </cell>
          <cell r="R210" t="str">
            <v>September YTD</v>
          </cell>
          <cell r="S210">
            <v>30</v>
          </cell>
          <cell r="T210">
            <v>270</v>
          </cell>
        </row>
        <row r="211">
          <cell r="Q211" t="str">
            <v>October</v>
          </cell>
          <cell r="R211" t="str">
            <v>October YTD</v>
          </cell>
          <cell r="S211">
            <v>30</v>
          </cell>
          <cell r="T211">
            <v>300</v>
          </cell>
        </row>
        <row r="212">
          <cell r="Q212" t="str">
            <v>November</v>
          </cell>
          <cell r="R212" t="str">
            <v>November YTD</v>
          </cell>
          <cell r="S212">
            <v>30</v>
          </cell>
          <cell r="T212">
            <v>330</v>
          </cell>
        </row>
        <row r="213">
          <cell r="Q213" t="str">
            <v>December</v>
          </cell>
          <cell r="R213" t="str">
            <v>December YTD</v>
          </cell>
          <cell r="S213">
            <v>30</v>
          </cell>
          <cell r="T213">
            <v>360</v>
          </cell>
        </row>
        <row r="214">
          <cell r="Q214" t="str">
            <v>Annual</v>
          </cell>
          <cell r="S214">
            <v>360</v>
          </cell>
          <cell r="T214">
            <v>360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B"/>
      <sheetName val="Extras!"/>
      <sheetName val="instructions"/>
      <sheetName val="plan"/>
      <sheetName val="forecast"/>
      <sheetName val="variance"/>
      <sheetName val="GUINEA99"/>
      <sheetName val="3"/>
    </sheetNames>
    <sheetDataSet>
      <sheetData sheetId="0" refreshError="1">
        <row r="1">
          <cell r="A1" t="str">
            <v>NationsBank General Bank</v>
          </cell>
        </row>
        <row r="272">
          <cell r="F272" t="str">
            <v>&gt;15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s"/>
      <sheetName val="Input"/>
      <sheetName val="IS"/>
      <sheetName val="BS"/>
      <sheetName val="Ratio"/>
      <sheetName val="Mixed Ann Yields"/>
      <sheetName val="Act_Act Yields"/>
      <sheetName val="NII"/>
      <sheetName val="NIE"/>
      <sheetName val="Loan Fees"/>
      <sheetName val="INT"/>
      <sheetName val="FTP"/>
      <sheetName val="Upload MACs"/>
      <sheetName val="Print MACs"/>
      <sheetName val="Go To MACs"/>
      <sheetName val="Protect"/>
      <sheetName val="Module3"/>
    </sheetNames>
    <sheetDataSet>
      <sheetData sheetId="0" refreshError="1">
        <row r="13">
          <cell r="A13">
            <v>2003</v>
          </cell>
        </row>
        <row r="19">
          <cell r="A19" t="str">
            <v>MARS:bs-03</v>
          </cell>
        </row>
        <row r="20">
          <cell r="A20" t="str">
            <v>MARS:bspit-03</v>
          </cell>
        </row>
        <row r="23">
          <cell r="A23" t="str">
            <v>MARS:is-03</v>
          </cell>
        </row>
        <row r="73">
          <cell r="A73" t="str">
            <v>MARS:bsfcst01</v>
          </cell>
        </row>
        <row r="76">
          <cell r="A76" t="str">
            <v>MARS:isfcst98</v>
          </cell>
        </row>
        <row r="86">
          <cell r="A86" t="str">
            <v>REF DESCRIPTION</v>
          </cell>
        </row>
        <row r="93">
          <cell r="A93" t="str">
            <v>TIME DIMENSION</v>
          </cell>
        </row>
        <row r="105">
          <cell r="E105" t="str">
            <v>MONTH</v>
          </cell>
          <cell r="F105" t="str">
            <v>abbrev</v>
          </cell>
          <cell r="G105" t="str">
            <v>Month</v>
          </cell>
          <cell r="H105" t="str">
            <v>YTD</v>
          </cell>
          <cell r="I105" t="str">
            <v>Month</v>
          </cell>
          <cell r="J105" t="str">
            <v>YTD</v>
          </cell>
          <cell r="K105" t="str">
            <v>Month</v>
          </cell>
          <cell r="L105" t="str">
            <v>YTD</v>
          </cell>
          <cell r="M105" t="str">
            <v>Month</v>
          </cell>
          <cell r="N105" t="str">
            <v>YTD</v>
          </cell>
          <cell r="O105" t="str">
            <v>Month</v>
          </cell>
          <cell r="P105" t="str">
            <v>YTD</v>
          </cell>
          <cell r="Q105" t="str">
            <v>Month</v>
          </cell>
          <cell r="R105" t="str">
            <v>YTD</v>
          </cell>
          <cell r="S105" t="str">
            <v>Month</v>
          </cell>
          <cell r="T105" t="str">
            <v>YTD</v>
          </cell>
          <cell r="U105" t="str">
            <v>Month</v>
          </cell>
          <cell r="V105" t="str">
            <v>YTD</v>
          </cell>
          <cell r="W105" t="str">
            <v>Month</v>
          </cell>
          <cell r="X105" t="str">
            <v>YTD</v>
          </cell>
        </row>
        <row r="106">
          <cell r="E106" t="str">
            <v>January</v>
          </cell>
          <cell r="F106" t="str">
            <v>Jan</v>
          </cell>
          <cell r="G106">
            <v>31</v>
          </cell>
          <cell r="H106">
            <v>31</v>
          </cell>
          <cell r="I106">
            <v>31</v>
          </cell>
          <cell r="J106">
            <v>31</v>
          </cell>
          <cell r="K106">
            <v>31</v>
          </cell>
          <cell r="L106">
            <v>31</v>
          </cell>
          <cell r="M106">
            <v>31</v>
          </cell>
          <cell r="N106">
            <v>31</v>
          </cell>
          <cell r="O106">
            <v>31</v>
          </cell>
          <cell r="P106">
            <v>31</v>
          </cell>
          <cell r="Q106">
            <v>31</v>
          </cell>
          <cell r="R106">
            <v>31</v>
          </cell>
          <cell r="S106">
            <v>31</v>
          </cell>
          <cell r="T106">
            <v>31</v>
          </cell>
          <cell r="U106">
            <v>31</v>
          </cell>
          <cell r="V106">
            <v>31</v>
          </cell>
          <cell r="W106">
            <v>30</v>
          </cell>
          <cell r="X106">
            <v>30</v>
          </cell>
        </row>
        <row r="107">
          <cell r="E107" t="str">
            <v>February</v>
          </cell>
          <cell r="F107" t="str">
            <v>Feb</v>
          </cell>
          <cell r="G107">
            <v>28</v>
          </cell>
          <cell r="H107">
            <v>59</v>
          </cell>
          <cell r="I107">
            <v>28</v>
          </cell>
          <cell r="J107">
            <v>59</v>
          </cell>
          <cell r="K107">
            <v>28</v>
          </cell>
          <cell r="L107">
            <v>59</v>
          </cell>
          <cell r="M107">
            <v>29</v>
          </cell>
          <cell r="N107">
            <v>60</v>
          </cell>
          <cell r="O107">
            <v>28</v>
          </cell>
          <cell r="P107">
            <v>59</v>
          </cell>
          <cell r="Q107">
            <v>28</v>
          </cell>
          <cell r="R107">
            <v>59</v>
          </cell>
          <cell r="S107">
            <v>29</v>
          </cell>
          <cell r="T107">
            <v>60</v>
          </cell>
          <cell r="U107">
            <v>28</v>
          </cell>
          <cell r="V107">
            <v>59</v>
          </cell>
          <cell r="W107">
            <v>30</v>
          </cell>
          <cell r="X107">
            <v>60</v>
          </cell>
        </row>
        <row r="108">
          <cell r="E108" t="str">
            <v>March</v>
          </cell>
          <cell r="F108" t="str">
            <v>Mar</v>
          </cell>
          <cell r="G108">
            <v>31</v>
          </cell>
          <cell r="H108">
            <v>90</v>
          </cell>
          <cell r="I108">
            <v>31</v>
          </cell>
          <cell r="J108">
            <v>90</v>
          </cell>
          <cell r="K108">
            <v>31</v>
          </cell>
          <cell r="L108">
            <v>90</v>
          </cell>
          <cell r="M108">
            <v>31</v>
          </cell>
          <cell r="N108">
            <v>91</v>
          </cell>
          <cell r="O108">
            <v>31</v>
          </cell>
          <cell r="P108">
            <v>90</v>
          </cell>
          <cell r="Q108">
            <v>31</v>
          </cell>
          <cell r="R108">
            <v>90</v>
          </cell>
          <cell r="S108">
            <v>31</v>
          </cell>
          <cell r="T108">
            <v>91</v>
          </cell>
          <cell r="U108">
            <v>31</v>
          </cell>
          <cell r="V108">
            <v>90</v>
          </cell>
          <cell r="W108">
            <v>30</v>
          </cell>
          <cell r="X108">
            <v>90</v>
          </cell>
        </row>
        <row r="109">
          <cell r="E109" t="str">
            <v>April</v>
          </cell>
          <cell r="F109" t="str">
            <v>Apr</v>
          </cell>
          <cell r="G109">
            <v>30</v>
          </cell>
          <cell r="H109">
            <v>120</v>
          </cell>
          <cell r="I109">
            <v>30</v>
          </cell>
          <cell r="J109">
            <v>120</v>
          </cell>
          <cell r="K109">
            <v>30</v>
          </cell>
          <cell r="L109">
            <v>120</v>
          </cell>
          <cell r="M109">
            <v>30</v>
          </cell>
          <cell r="N109">
            <v>121</v>
          </cell>
          <cell r="O109">
            <v>30</v>
          </cell>
          <cell r="P109">
            <v>120</v>
          </cell>
          <cell r="Q109">
            <v>30</v>
          </cell>
          <cell r="R109">
            <v>120</v>
          </cell>
          <cell r="S109">
            <v>30</v>
          </cell>
          <cell r="T109">
            <v>121</v>
          </cell>
          <cell r="U109">
            <v>30</v>
          </cell>
          <cell r="V109">
            <v>120</v>
          </cell>
          <cell r="W109">
            <v>30</v>
          </cell>
          <cell r="X109">
            <v>120</v>
          </cell>
        </row>
        <row r="110">
          <cell r="E110" t="str">
            <v>May</v>
          </cell>
          <cell r="F110" t="str">
            <v>May</v>
          </cell>
          <cell r="G110">
            <v>31</v>
          </cell>
          <cell r="H110">
            <v>151</v>
          </cell>
          <cell r="I110">
            <v>31</v>
          </cell>
          <cell r="J110">
            <v>151</v>
          </cell>
          <cell r="K110">
            <v>31</v>
          </cell>
          <cell r="L110">
            <v>151</v>
          </cell>
          <cell r="M110">
            <v>31</v>
          </cell>
          <cell r="N110">
            <v>152</v>
          </cell>
          <cell r="O110">
            <v>31</v>
          </cell>
          <cell r="P110">
            <v>151</v>
          </cell>
          <cell r="Q110">
            <v>31</v>
          </cell>
          <cell r="R110">
            <v>151</v>
          </cell>
          <cell r="S110">
            <v>31</v>
          </cell>
          <cell r="T110">
            <v>152</v>
          </cell>
          <cell r="U110">
            <v>31</v>
          </cell>
          <cell r="V110">
            <v>151</v>
          </cell>
          <cell r="W110">
            <v>30</v>
          </cell>
          <cell r="X110">
            <v>150</v>
          </cell>
        </row>
        <row r="111">
          <cell r="E111" t="str">
            <v>June</v>
          </cell>
          <cell r="F111" t="str">
            <v>Jun</v>
          </cell>
          <cell r="G111">
            <v>30</v>
          </cell>
          <cell r="H111">
            <v>181</v>
          </cell>
          <cell r="I111">
            <v>30</v>
          </cell>
          <cell r="J111">
            <v>181</v>
          </cell>
          <cell r="K111">
            <v>30</v>
          </cell>
          <cell r="L111">
            <v>181</v>
          </cell>
          <cell r="M111">
            <v>30</v>
          </cell>
          <cell r="N111">
            <v>182</v>
          </cell>
          <cell r="O111">
            <v>30</v>
          </cell>
          <cell r="P111">
            <v>181</v>
          </cell>
          <cell r="Q111">
            <v>30</v>
          </cell>
          <cell r="R111">
            <v>181</v>
          </cell>
          <cell r="S111">
            <v>30</v>
          </cell>
          <cell r="T111">
            <v>182</v>
          </cell>
          <cell r="U111">
            <v>30</v>
          </cell>
          <cell r="V111">
            <v>181</v>
          </cell>
          <cell r="W111">
            <v>30</v>
          </cell>
          <cell r="X111">
            <v>180</v>
          </cell>
        </row>
        <row r="112">
          <cell r="E112" t="str">
            <v>July</v>
          </cell>
          <cell r="F112" t="str">
            <v>Jul</v>
          </cell>
          <cell r="G112">
            <v>31</v>
          </cell>
          <cell r="H112">
            <v>212</v>
          </cell>
          <cell r="I112">
            <v>31</v>
          </cell>
          <cell r="J112">
            <v>212</v>
          </cell>
          <cell r="K112">
            <v>31</v>
          </cell>
          <cell r="L112">
            <v>212</v>
          </cell>
          <cell r="M112">
            <v>31</v>
          </cell>
          <cell r="N112">
            <v>213</v>
          </cell>
          <cell r="O112">
            <v>31</v>
          </cell>
          <cell r="P112">
            <v>212</v>
          </cell>
          <cell r="Q112">
            <v>31</v>
          </cell>
          <cell r="R112">
            <v>212</v>
          </cell>
          <cell r="S112">
            <v>31</v>
          </cell>
          <cell r="T112">
            <v>213</v>
          </cell>
          <cell r="U112">
            <v>31</v>
          </cell>
          <cell r="V112">
            <v>212</v>
          </cell>
          <cell r="W112">
            <v>30</v>
          </cell>
          <cell r="X112">
            <v>210</v>
          </cell>
        </row>
        <row r="113">
          <cell r="E113" t="str">
            <v>August</v>
          </cell>
          <cell r="F113" t="str">
            <v>Aug</v>
          </cell>
          <cell r="G113">
            <v>31</v>
          </cell>
          <cell r="H113">
            <v>243</v>
          </cell>
          <cell r="I113">
            <v>31</v>
          </cell>
          <cell r="J113">
            <v>243</v>
          </cell>
          <cell r="K113">
            <v>31</v>
          </cell>
          <cell r="L113">
            <v>243</v>
          </cell>
          <cell r="M113">
            <v>31</v>
          </cell>
          <cell r="N113">
            <v>244</v>
          </cell>
          <cell r="O113">
            <v>31</v>
          </cell>
          <cell r="P113">
            <v>243</v>
          </cell>
          <cell r="Q113">
            <v>31</v>
          </cell>
          <cell r="R113">
            <v>243</v>
          </cell>
          <cell r="S113">
            <v>31</v>
          </cell>
          <cell r="T113">
            <v>244</v>
          </cell>
          <cell r="U113">
            <v>31</v>
          </cell>
          <cell r="V113">
            <v>243</v>
          </cell>
          <cell r="W113">
            <v>30</v>
          </cell>
          <cell r="X113">
            <v>240</v>
          </cell>
        </row>
        <row r="114">
          <cell r="E114" t="str">
            <v>September</v>
          </cell>
          <cell r="F114" t="str">
            <v>Sep</v>
          </cell>
          <cell r="G114">
            <v>30</v>
          </cell>
          <cell r="H114">
            <v>273</v>
          </cell>
          <cell r="I114">
            <v>30</v>
          </cell>
          <cell r="J114">
            <v>273</v>
          </cell>
          <cell r="K114">
            <v>30</v>
          </cell>
          <cell r="L114">
            <v>273</v>
          </cell>
          <cell r="M114">
            <v>30</v>
          </cell>
          <cell r="N114">
            <v>274</v>
          </cell>
          <cell r="O114">
            <v>30</v>
          </cell>
          <cell r="P114">
            <v>273</v>
          </cell>
          <cell r="Q114">
            <v>30</v>
          </cell>
          <cell r="R114">
            <v>273</v>
          </cell>
          <cell r="S114">
            <v>30</v>
          </cell>
          <cell r="T114">
            <v>274</v>
          </cell>
          <cell r="U114">
            <v>30</v>
          </cell>
          <cell r="V114">
            <v>273</v>
          </cell>
          <cell r="W114">
            <v>30</v>
          </cell>
          <cell r="X114">
            <v>270</v>
          </cell>
        </row>
        <row r="115">
          <cell r="E115" t="str">
            <v>October</v>
          </cell>
          <cell r="F115" t="str">
            <v>Oct</v>
          </cell>
          <cell r="G115">
            <v>31</v>
          </cell>
          <cell r="H115">
            <v>304</v>
          </cell>
          <cell r="I115">
            <v>31</v>
          </cell>
          <cell r="J115">
            <v>304</v>
          </cell>
          <cell r="K115">
            <v>31</v>
          </cell>
          <cell r="L115">
            <v>304</v>
          </cell>
          <cell r="M115">
            <v>31</v>
          </cell>
          <cell r="N115">
            <v>305</v>
          </cell>
          <cell r="O115">
            <v>31</v>
          </cell>
          <cell r="P115">
            <v>304</v>
          </cell>
          <cell r="Q115">
            <v>31</v>
          </cell>
          <cell r="R115">
            <v>304</v>
          </cell>
          <cell r="S115">
            <v>31</v>
          </cell>
          <cell r="T115">
            <v>305</v>
          </cell>
          <cell r="U115">
            <v>31</v>
          </cell>
          <cell r="V115">
            <v>304</v>
          </cell>
          <cell r="W115">
            <v>30</v>
          </cell>
          <cell r="X115">
            <v>300</v>
          </cell>
        </row>
        <row r="116">
          <cell r="E116" t="str">
            <v>November</v>
          </cell>
          <cell r="F116" t="str">
            <v>Nov</v>
          </cell>
          <cell r="G116">
            <v>30</v>
          </cell>
          <cell r="H116">
            <v>334</v>
          </cell>
          <cell r="I116">
            <v>30</v>
          </cell>
          <cell r="J116">
            <v>334</v>
          </cell>
          <cell r="K116">
            <v>30</v>
          </cell>
          <cell r="L116">
            <v>334</v>
          </cell>
          <cell r="M116">
            <v>30</v>
          </cell>
          <cell r="N116">
            <v>335</v>
          </cell>
          <cell r="O116">
            <v>30</v>
          </cell>
          <cell r="P116">
            <v>334</v>
          </cell>
          <cell r="Q116">
            <v>30</v>
          </cell>
          <cell r="R116">
            <v>334</v>
          </cell>
          <cell r="S116">
            <v>30</v>
          </cell>
          <cell r="T116">
            <v>335</v>
          </cell>
          <cell r="U116">
            <v>30</v>
          </cell>
          <cell r="V116">
            <v>334</v>
          </cell>
          <cell r="W116">
            <v>30</v>
          </cell>
          <cell r="X116">
            <v>330</v>
          </cell>
        </row>
        <row r="117">
          <cell r="A117" t="str">
            <v>CENTER OR ROLLUP REFERENCE</v>
          </cell>
        </row>
        <row r="122">
          <cell r="A122">
            <v>3</v>
          </cell>
        </row>
        <row r="123">
          <cell r="A123" t="str">
            <v>Actual</v>
          </cell>
        </row>
        <row r="136">
          <cell r="A136" t="str">
            <v>OTHER</v>
          </cell>
        </row>
        <row r="144">
          <cell r="A144" t="str">
            <v>Monthly Comparison cubes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s"/>
      <sheetName val="Module1"/>
      <sheetName val="Input"/>
      <sheetName val="Retail"/>
      <sheetName val="CF"/>
      <sheetName val="Module5"/>
    </sheetNames>
    <sheetDataSet>
      <sheetData sheetId="0" refreshError="1">
        <row r="139">
          <cell r="A139" t="str">
            <v>Qtr Fcst</v>
          </cell>
        </row>
        <row r="140">
          <cell r="A140" t="str">
            <v>Strat</v>
          </cell>
        </row>
        <row r="141">
          <cell r="A141" t="str">
            <v>Init</v>
          </cell>
        </row>
        <row r="143">
          <cell r="A143" t="str">
            <v>Forecast</v>
          </cell>
        </row>
        <row r="190">
          <cell r="V190">
            <v>31</v>
          </cell>
          <cell r="W190">
            <v>366</v>
          </cell>
          <cell r="X190">
            <v>30</v>
          </cell>
        </row>
        <row r="191">
          <cell r="V191" t="str">
            <v>January</v>
          </cell>
          <cell r="W191">
            <v>31</v>
          </cell>
          <cell r="X191">
            <v>30</v>
          </cell>
        </row>
        <row r="192">
          <cell r="V192" t="str">
            <v>February</v>
          </cell>
          <cell r="W192">
            <v>31</v>
          </cell>
          <cell r="X192">
            <v>30</v>
          </cell>
        </row>
        <row r="193">
          <cell r="V193" t="str">
            <v>March</v>
          </cell>
          <cell r="W193">
            <v>29</v>
          </cell>
          <cell r="X193">
            <v>30</v>
          </cell>
        </row>
        <row r="194">
          <cell r="V194" t="str">
            <v>April</v>
          </cell>
          <cell r="W194">
            <v>31</v>
          </cell>
          <cell r="X194">
            <v>30</v>
          </cell>
        </row>
        <row r="195">
          <cell r="V195" t="str">
            <v>May</v>
          </cell>
          <cell r="W195">
            <v>30</v>
          </cell>
          <cell r="X195">
            <v>30</v>
          </cell>
        </row>
        <row r="196">
          <cell r="V196" t="str">
            <v>June</v>
          </cell>
          <cell r="W196">
            <v>31</v>
          </cell>
          <cell r="X196">
            <v>30</v>
          </cell>
        </row>
        <row r="197">
          <cell r="V197" t="str">
            <v>July</v>
          </cell>
          <cell r="W197">
            <v>30</v>
          </cell>
          <cell r="X197">
            <v>30</v>
          </cell>
        </row>
        <row r="198">
          <cell r="V198" t="str">
            <v>August</v>
          </cell>
          <cell r="W198">
            <v>31</v>
          </cell>
          <cell r="X198">
            <v>30</v>
          </cell>
        </row>
        <row r="199">
          <cell r="V199" t="str">
            <v>September</v>
          </cell>
          <cell r="W199">
            <v>31</v>
          </cell>
          <cell r="X199">
            <v>30</v>
          </cell>
        </row>
        <row r="200">
          <cell r="V200" t="str">
            <v>October</v>
          </cell>
          <cell r="W200">
            <v>30</v>
          </cell>
          <cell r="X200">
            <v>30</v>
          </cell>
        </row>
        <row r="201">
          <cell r="V201" t="str">
            <v>November</v>
          </cell>
          <cell r="W201">
            <v>31</v>
          </cell>
          <cell r="X201">
            <v>30</v>
          </cell>
        </row>
        <row r="202">
          <cell r="V202" t="str">
            <v>December</v>
          </cell>
          <cell r="W202">
            <v>30</v>
          </cell>
          <cell r="X202">
            <v>30</v>
          </cell>
        </row>
        <row r="203">
          <cell r="V203" t="str">
            <v>Annual</v>
          </cell>
          <cell r="W203">
            <v>366</v>
          </cell>
          <cell r="X203">
            <v>360</v>
          </cell>
        </row>
        <row r="204">
          <cell r="V204" t="str">
            <v>January YTD</v>
          </cell>
          <cell r="W204">
            <v>31</v>
          </cell>
          <cell r="X204">
            <v>30</v>
          </cell>
        </row>
        <row r="205">
          <cell r="V205" t="str">
            <v>February YTD</v>
          </cell>
          <cell r="W205">
            <v>62</v>
          </cell>
          <cell r="X205">
            <v>60</v>
          </cell>
        </row>
        <row r="206">
          <cell r="V206" t="str">
            <v>March YTD</v>
          </cell>
          <cell r="W206">
            <v>91</v>
          </cell>
          <cell r="X206">
            <v>90</v>
          </cell>
        </row>
        <row r="207">
          <cell r="V207" t="str">
            <v>April YTD</v>
          </cell>
          <cell r="W207">
            <v>122</v>
          </cell>
          <cell r="X207">
            <v>120</v>
          </cell>
        </row>
        <row r="208">
          <cell r="V208" t="str">
            <v>May YTD</v>
          </cell>
          <cell r="W208">
            <v>152</v>
          </cell>
          <cell r="X208">
            <v>150</v>
          </cell>
        </row>
        <row r="209">
          <cell r="V209" t="str">
            <v>June YTD</v>
          </cell>
          <cell r="W209">
            <v>183</v>
          </cell>
          <cell r="X209">
            <v>180</v>
          </cell>
        </row>
        <row r="210">
          <cell r="V210" t="str">
            <v>July YTD</v>
          </cell>
          <cell r="W210">
            <v>213</v>
          </cell>
          <cell r="X210">
            <v>210</v>
          </cell>
        </row>
        <row r="211">
          <cell r="V211" t="str">
            <v>August YTD</v>
          </cell>
          <cell r="W211">
            <v>244</v>
          </cell>
          <cell r="X211">
            <v>240</v>
          </cell>
        </row>
        <row r="212">
          <cell r="V212" t="str">
            <v>September YTD</v>
          </cell>
          <cell r="W212">
            <v>275</v>
          </cell>
          <cell r="X212">
            <v>270</v>
          </cell>
        </row>
        <row r="213">
          <cell r="V213" t="str">
            <v>October YTD</v>
          </cell>
          <cell r="W213">
            <v>305</v>
          </cell>
          <cell r="X213">
            <v>300</v>
          </cell>
        </row>
        <row r="214">
          <cell r="V214" t="str">
            <v>November YTD</v>
          </cell>
          <cell r="W214">
            <v>336</v>
          </cell>
          <cell r="X214">
            <v>330</v>
          </cell>
        </row>
        <row r="215">
          <cell r="V215" t="str">
            <v>December YTD</v>
          </cell>
          <cell r="W215">
            <v>366</v>
          </cell>
          <cell r="X215">
            <v>360</v>
          </cell>
        </row>
        <row r="216">
          <cell r="V216">
            <v>31</v>
          </cell>
          <cell r="W216">
            <v>366</v>
          </cell>
          <cell r="X216">
            <v>30</v>
          </cell>
        </row>
        <row r="217">
          <cell r="V217" t="str">
            <v>January</v>
          </cell>
          <cell r="W217">
            <v>31</v>
          </cell>
          <cell r="X217">
            <v>30</v>
          </cell>
        </row>
        <row r="218">
          <cell r="V218" t="str">
            <v>February</v>
          </cell>
          <cell r="W218">
            <v>31</v>
          </cell>
          <cell r="X218">
            <v>30</v>
          </cell>
        </row>
        <row r="219">
          <cell r="V219" t="str">
            <v>March</v>
          </cell>
          <cell r="W219">
            <v>29</v>
          </cell>
          <cell r="X219">
            <v>30</v>
          </cell>
        </row>
        <row r="220">
          <cell r="V220" t="str">
            <v>April</v>
          </cell>
          <cell r="W220">
            <v>31</v>
          </cell>
          <cell r="X220">
            <v>30</v>
          </cell>
        </row>
        <row r="221">
          <cell r="V221" t="str">
            <v>May</v>
          </cell>
          <cell r="W221">
            <v>30</v>
          </cell>
          <cell r="X221">
            <v>30</v>
          </cell>
        </row>
        <row r="222">
          <cell r="V222" t="str">
            <v>June</v>
          </cell>
          <cell r="W222">
            <v>31</v>
          </cell>
          <cell r="X222">
            <v>30</v>
          </cell>
        </row>
        <row r="223">
          <cell r="V223" t="str">
            <v>July</v>
          </cell>
          <cell r="W223">
            <v>30</v>
          </cell>
          <cell r="X223">
            <v>30</v>
          </cell>
        </row>
        <row r="224">
          <cell r="V224" t="str">
            <v>August</v>
          </cell>
          <cell r="W224">
            <v>31</v>
          </cell>
          <cell r="X224">
            <v>30</v>
          </cell>
        </row>
        <row r="225">
          <cell r="V225" t="str">
            <v>September</v>
          </cell>
          <cell r="W225">
            <v>31</v>
          </cell>
          <cell r="X225">
            <v>30</v>
          </cell>
        </row>
        <row r="226">
          <cell r="V226" t="str">
            <v>October</v>
          </cell>
          <cell r="W226">
            <v>30</v>
          </cell>
          <cell r="X226">
            <v>30</v>
          </cell>
        </row>
        <row r="227">
          <cell r="V227" t="str">
            <v>November</v>
          </cell>
          <cell r="W227">
            <v>31</v>
          </cell>
          <cell r="X227">
            <v>30</v>
          </cell>
        </row>
        <row r="228">
          <cell r="V228" t="str">
            <v>December</v>
          </cell>
          <cell r="W228">
            <v>30</v>
          </cell>
          <cell r="X228">
            <v>30</v>
          </cell>
        </row>
        <row r="229">
          <cell r="V229" t="str">
            <v>Annual</v>
          </cell>
          <cell r="W229">
            <v>366</v>
          </cell>
          <cell r="X229">
            <v>360</v>
          </cell>
        </row>
        <row r="230">
          <cell r="V230" t="str">
            <v>January YTD</v>
          </cell>
          <cell r="W230">
            <v>31</v>
          </cell>
          <cell r="X230">
            <v>30</v>
          </cell>
        </row>
        <row r="231">
          <cell r="V231" t="str">
            <v>February YTD</v>
          </cell>
          <cell r="W231">
            <v>62</v>
          </cell>
          <cell r="X231">
            <v>60</v>
          </cell>
        </row>
        <row r="232">
          <cell r="V232" t="str">
            <v>March YTD</v>
          </cell>
          <cell r="W232">
            <v>91</v>
          </cell>
          <cell r="X232">
            <v>90</v>
          </cell>
        </row>
        <row r="233">
          <cell r="V233" t="str">
            <v>April YTD</v>
          </cell>
          <cell r="W233">
            <v>122</v>
          </cell>
          <cell r="X233">
            <v>120</v>
          </cell>
        </row>
        <row r="234">
          <cell r="V234" t="str">
            <v>May YTD</v>
          </cell>
          <cell r="W234">
            <v>152</v>
          </cell>
          <cell r="X234">
            <v>150</v>
          </cell>
        </row>
        <row r="235">
          <cell r="V235" t="str">
            <v>June YTD</v>
          </cell>
          <cell r="W235">
            <v>183</v>
          </cell>
          <cell r="X235">
            <v>180</v>
          </cell>
        </row>
        <row r="236">
          <cell r="V236" t="str">
            <v>July YTD</v>
          </cell>
          <cell r="W236">
            <v>213</v>
          </cell>
          <cell r="X236">
            <v>210</v>
          </cell>
        </row>
        <row r="237">
          <cell r="V237" t="str">
            <v>August YTD</v>
          </cell>
          <cell r="W237">
            <v>244</v>
          </cell>
          <cell r="X237">
            <v>240</v>
          </cell>
        </row>
        <row r="238">
          <cell r="V238" t="str">
            <v>September YTD</v>
          </cell>
          <cell r="W238">
            <v>275</v>
          </cell>
          <cell r="X238">
            <v>270</v>
          </cell>
        </row>
        <row r="239">
          <cell r="V239" t="str">
            <v>October YTD</v>
          </cell>
          <cell r="W239">
            <v>305</v>
          </cell>
          <cell r="X239">
            <v>300</v>
          </cell>
        </row>
        <row r="240">
          <cell r="V240" t="str">
            <v>November YTD</v>
          </cell>
          <cell r="W240">
            <v>336</v>
          </cell>
          <cell r="X240">
            <v>330</v>
          </cell>
        </row>
        <row r="241">
          <cell r="V241" t="str">
            <v>December YTD</v>
          </cell>
          <cell r="W241">
            <v>366</v>
          </cell>
          <cell r="X241">
            <v>360</v>
          </cell>
        </row>
        <row r="242">
          <cell r="V242">
            <v>31</v>
          </cell>
          <cell r="X242">
            <v>30</v>
          </cell>
        </row>
        <row r="268">
          <cell r="V268">
            <v>31</v>
          </cell>
          <cell r="X268">
            <v>30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3"/>
  <dimension ref="A2:G33"/>
  <sheetViews>
    <sheetView showGridLines="0" tabSelected="1" zoomScale="70" zoomScaleNormal="70" workbookViewId="0">
      <selection activeCell="C2" sqref="C2"/>
    </sheetView>
  </sheetViews>
  <sheetFormatPr baseColWidth="10" defaultColWidth="12.5703125" defaultRowHeight="23.25" customHeight="1"/>
  <cols>
    <col min="1" max="1" width="40.42578125" style="1" customWidth="1"/>
    <col min="2" max="2" width="21.85546875" style="1" customWidth="1"/>
    <col min="3" max="3" width="115.7109375" style="25" customWidth="1"/>
    <col min="4" max="4" width="13.28515625" style="1" customWidth="1"/>
    <col min="5" max="5" width="18.140625" style="1" hidden="1" customWidth="1"/>
    <col min="6" max="6" width="12.5703125" style="1" hidden="1" customWidth="1"/>
    <col min="7" max="256" width="12.5703125" style="1"/>
    <col min="257" max="257" width="40.42578125" style="1" customWidth="1"/>
    <col min="258" max="258" width="21.85546875" style="1" customWidth="1"/>
    <col min="259" max="259" width="115.7109375" style="1" customWidth="1"/>
    <col min="260" max="260" width="13.28515625" style="1" customWidth="1"/>
    <col min="261" max="262" width="0" style="1" hidden="1" customWidth="1"/>
    <col min="263" max="512" width="12.5703125" style="1"/>
    <col min="513" max="513" width="40.42578125" style="1" customWidth="1"/>
    <col min="514" max="514" width="21.85546875" style="1" customWidth="1"/>
    <col min="515" max="515" width="115.7109375" style="1" customWidth="1"/>
    <col min="516" max="516" width="13.28515625" style="1" customWidth="1"/>
    <col min="517" max="518" width="0" style="1" hidden="1" customWidth="1"/>
    <col min="519" max="768" width="12.5703125" style="1"/>
    <col min="769" max="769" width="40.42578125" style="1" customWidth="1"/>
    <col min="770" max="770" width="21.85546875" style="1" customWidth="1"/>
    <col min="771" max="771" width="115.7109375" style="1" customWidth="1"/>
    <col min="772" max="772" width="13.28515625" style="1" customWidth="1"/>
    <col min="773" max="774" width="0" style="1" hidden="1" customWidth="1"/>
    <col min="775" max="1024" width="12.5703125" style="1"/>
    <col min="1025" max="1025" width="40.42578125" style="1" customWidth="1"/>
    <col min="1026" max="1026" width="21.85546875" style="1" customWidth="1"/>
    <col min="1027" max="1027" width="115.7109375" style="1" customWidth="1"/>
    <col min="1028" max="1028" width="13.28515625" style="1" customWidth="1"/>
    <col min="1029" max="1030" width="0" style="1" hidden="1" customWidth="1"/>
    <col min="1031" max="1280" width="12.5703125" style="1"/>
    <col min="1281" max="1281" width="40.42578125" style="1" customWidth="1"/>
    <col min="1282" max="1282" width="21.85546875" style="1" customWidth="1"/>
    <col min="1283" max="1283" width="115.7109375" style="1" customWidth="1"/>
    <col min="1284" max="1284" width="13.28515625" style="1" customWidth="1"/>
    <col min="1285" max="1286" width="0" style="1" hidden="1" customWidth="1"/>
    <col min="1287" max="1536" width="12.5703125" style="1"/>
    <col min="1537" max="1537" width="40.42578125" style="1" customWidth="1"/>
    <col min="1538" max="1538" width="21.85546875" style="1" customWidth="1"/>
    <col min="1539" max="1539" width="115.7109375" style="1" customWidth="1"/>
    <col min="1540" max="1540" width="13.28515625" style="1" customWidth="1"/>
    <col min="1541" max="1542" width="0" style="1" hidden="1" customWidth="1"/>
    <col min="1543" max="1792" width="12.5703125" style="1"/>
    <col min="1793" max="1793" width="40.42578125" style="1" customWidth="1"/>
    <col min="1794" max="1794" width="21.85546875" style="1" customWidth="1"/>
    <col min="1795" max="1795" width="115.7109375" style="1" customWidth="1"/>
    <col min="1796" max="1796" width="13.28515625" style="1" customWidth="1"/>
    <col min="1797" max="1798" width="0" style="1" hidden="1" customWidth="1"/>
    <col min="1799" max="2048" width="12.5703125" style="1"/>
    <col min="2049" max="2049" width="40.42578125" style="1" customWidth="1"/>
    <col min="2050" max="2050" width="21.85546875" style="1" customWidth="1"/>
    <col min="2051" max="2051" width="115.7109375" style="1" customWidth="1"/>
    <col min="2052" max="2052" width="13.28515625" style="1" customWidth="1"/>
    <col min="2053" max="2054" width="0" style="1" hidden="1" customWidth="1"/>
    <col min="2055" max="2304" width="12.5703125" style="1"/>
    <col min="2305" max="2305" width="40.42578125" style="1" customWidth="1"/>
    <col min="2306" max="2306" width="21.85546875" style="1" customWidth="1"/>
    <col min="2307" max="2307" width="115.7109375" style="1" customWidth="1"/>
    <col min="2308" max="2308" width="13.28515625" style="1" customWidth="1"/>
    <col min="2309" max="2310" width="0" style="1" hidden="1" customWidth="1"/>
    <col min="2311" max="2560" width="12.5703125" style="1"/>
    <col min="2561" max="2561" width="40.42578125" style="1" customWidth="1"/>
    <col min="2562" max="2562" width="21.85546875" style="1" customWidth="1"/>
    <col min="2563" max="2563" width="115.7109375" style="1" customWidth="1"/>
    <col min="2564" max="2564" width="13.28515625" style="1" customWidth="1"/>
    <col min="2565" max="2566" width="0" style="1" hidden="1" customWidth="1"/>
    <col min="2567" max="2816" width="12.5703125" style="1"/>
    <col min="2817" max="2817" width="40.42578125" style="1" customWidth="1"/>
    <col min="2818" max="2818" width="21.85546875" style="1" customWidth="1"/>
    <col min="2819" max="2819" width="115.7109375" style="1" customWidth="1"/>
    <col min="2820" max="2820" width="13.28515625" style="1" customWidth="1"/>
    <col min="2821" max="2822" width="0" style="1" hidden="1" customWidth="1"/>
    <col min="2823" max="3072" width="12.5703125" style="1"/>
    <col min="3073" max="3073" width="40.42578125" style="1" customWidth="1"/>
    <col min="3074" max="3074" width="21.85546875" style="1" customWidth="1"/>
    <col min="3075" max="3075" width="115.7109375" style="1" customWidth="1"/>
    <col min="3076" max="3076" width="13.28515625" style="1" customWidth="1"/>
    <col min="3077" max="3078" width="0" style="1" hidden="1" customWidth="1"/>
    <col min="3079" max="3328" width="12.5703125" style="1"/>
    <col min="3329" max="3329" width="40.42578125" style="1" customWidth="1"/>
    <col min="3330" max="3330" width="21.85546875" style="1" customWidth="1"/>
    <col min="3331" max="3331" width="115.7109375" style="1" customWidth="1"/>
    <col min="3332" max="3332" width="13.28515625" style="1" customWidth="1"/>
    <col min="3333" max="3334" width="0" style="1" hidden="1" customWidth="1"/>
    <col min="3335" max="3584" width="12.5703125" style="1"/>
    <col min="3585" max="3585" width="40.42578125" style="1" customWidth="1"/>
    <col min="3586" max="3586" width="21.85546875" style="1" customWidth="1"/>
    <col min="3587" max="3587" width="115.7109375" style="1" customWidth="1"/>
    <col min="3588" max="3588" width="13.28515625" style="1" customWidth="1"/>
    <col min="3589" max="3590" width="0" style="1" hidden="1" customWidth="1"/>
    <col min="3591" max="3840" width="12.5703125" style="1"/>
    <col min="3841" max="3841" width="40.42578125" style="1" customWidth="1"/>
    <col min="3842" max="3842" width="21.85546875" style="1" customWidth="1"/>
    <col min="3843" max="3843" width="115.7109375" style="1" customWidth="1"/>
    <col min="3844" max="3844" width="13.28515625" style="1" customWidth="1"/>
    <col min="3845" max="3846" width="0" style="1" hidden="1" customWidth="1"/>
    <col min="3847" max="4096" width="12.5703125" style="1"/>
    <col min="4097" max="4097" width="40.42578125" style="1" customWidth="1"/>
    <col min="4098" max="4098" width="21.85546875" style="1" customWidth="1"/>
    <col min="4099" max="4099" width="115.7109375" style="1" customWidth="1"/>
    <col min="4100" max="4100" width="13.28515625" style="1" customWidth="1"/>
    <col min="4101" max="4102" width="0" style="1" hidden="1" customWidth="1"/>
    <col min="4103" max="4352" width="12.5703125" style="1"/>
    <col min="4353" max="4353" width="40.42578125" style="1" customWidth="1"/>
    <col min="4354" max="4354" width="21.85546875" style="1" customWidth="1"/>
    <col min="4355" max="4355" width="115.7109375" style="1" customWidth="1"/>
    <col min="4356" max="4356" width="13.28515625" style="1" customWidth="1"/>
    <col min="4357" max="4358" width="0" style="1" hidden="1" customWidth="1"/>
    <col min="4359" max="4608" width="12.5703125" style="1"/>
    <col min="4609" max="4609" width="40.42578125" style="1" customWidth="1"/>
    <col min="4610" max="4610" width="21.85546875" style="1" customWidth="1"/>
    <col min="4611" max="4611" width="115.7109375" style="1" customWidth="1"/>
    <col min="4612" max="4612" width="13.28515625" style="1" customWidth="1"/>
    <col min="4613" max="4614" width="0" style="1" hidden="1" customWidth="1"/>
    <col min="4615" max="4864" width="12.5703125" style="1"/>
    <col min="4865" max="4865" width="40.42578125" style="1" customWidth="1"/>
    <col min="4866" max="4866" width="21.85546875" style="1" customWidth="1"/>
    <col min="4867" max="4867" width="115.7109375" style="1" customWidth="1"/>
    <col min="4868" max="4868" width="13.28515625" style="1" customWidth="1"/>
    <col min="4869" max="4870" width="0" style="1" hidden="1" customWidth="1"/>
    <col min="4871" max="5120" width="12.5703125" style="1"/>
    <col min="5121" max="5121" width="40.42578125" style="1" customWidth="1"/>
    <col min="5122" max="5122" width="21.85546875" style="1" customWidth="1"/>
    <col min="5123" max="5123" width="115.7109375" style="1" customWidth="1"/>
    <col min="5124" max="5124" width="13.28515625" style="1" customWidth="1"/>
    <col min="5125" max="5126" width="0" style="1" hidden="1" customWidth="1"/>
    <col min="5127" max="5376" width="12.5703125" style="1"/>
    <col min="5377" max="5377" width="40.42578125" style="1" customWidth="1"/>
    <col min="5378" max="5378" width="21.85546875" style="1" customWidth="1"/>
    <col min="5379" max="5379" width="115.7109375" style="1" customWidth="1"/>
    <col min="5380" max="5380" width="13.28515625" style="1" customWidth="1"/>
    <col min="5381" max="5382" width="0" style="1" hidden="1" customWidth="1"/>
    <col min="5383" max="5632" width="12.5703125" style="1"/>
    <col min="5633" max="5633" width="40.42578125" style="1" customWidth="1"/>
    <col min="5634" max="5634" width="21.85546875" style="1" customWidth="1"/>
    <col min="5635" max="5635" width="115.7109375" style="1" customWidth="1"/>
    <col min="5636" max="5636" width="13.28515625" style="1" customWidth="1"/>
    <col min="5637" max="5638" width="0" style="1" hidden="1" customWidth="1"/>
    <col min="5639" max="5888" width="12.5703125" style="1"/>
    <col min="5889" max="5889" width="40.42578125" style="1" customWidth="1"/>
    <col min="5890" max="5890" width="21.85546875" style="1" customWidth="1"/>
    <col min="5891" max="5891" width="115.7109375" style="1" customWidth="1"/>
    <col min="5892" max="5892" width="13.28515625" style="1" customWidth="1"/>
    <col min="5893" max="5894" width="0" style="1" hidden="1" customWidth="1"/>
    <col min="5895" max="6144" width="12.5703125" style="1"/>
    <col min="6145" max="6145" width="40.42578125" style="1" customWidth="1"/>
    <col min="6146" max="6146" width="21.85546875" style="1" customWidth="1"/>
    <col min="6147" max="6147" width="115.7109375" style="1" customWidth="1"/>
    <col min="6148" max="6148" width="13.28515625" style="1" customWidth="1"/>
    <col min="6149" max="6150" width="0" style="1" hidden="1" customWidth="1"/>
    <col min="6151" max="6400" width="12.5703125" style="1"/>
    <col min="6401" max="6401" width="40.42578125" style="1" customWidth="1"/>
    <col min="6402" max="6402" width="21.85546875" style="1" customWidth="1"/>
    <col min="6403" max="6403" width="115.7109375" style="1" customWidth="1"/>
    <col min="6404" max="6404" width="13.28515625" style="1" customWidth="1"/>
    <col min="6405" max="6406" width="0" style="1" hidden="1" customWidth="1"/>
    <col min="6407" max="6656" width="12.5703125" style="1"/>
    <col min="6657" max="6657" width="40.42578125" style="1" customWidth="1"/>
    <col min="6658" max="6658" width="21.85546875" style="1" customWidth="1"/>
    <col min="6659" max="6659" width="115.7109375" style="1" customWidth="1"/>
    <col min="6660" max="6660" width="13.28515625" style="1" customWidth="1"/>
    <col min="6661" max="6662" width="0" style="1" hidden="1" customWidth="1"/>
    <col min="6663" max="6912" width="12.5703125" style="1"/>
    <col min="6913" max="6913" width="40.42578125" style="1" customWidth="1"/>
    <col min="6914" max="6914" width="21.85546875" style="1" customWidth="1"/>
    <col min="6915" max="6915" width="115.7109375" style="1" customWidth="1"/>
    <col min="6916" max="6916" width="13.28515625" style="1" customWidth="1"/>
    <col min="6917" max="6918" width="0" style="1" hidden="1" customWidth="1"/>
    <col min="6919" max="7168" width="12.5703125" style="1"/>
    <col min="7169" max="7169" width="40.42578125" style="1" customWidth="1"/>
    <col min="7170" max="7170" width="21.85546875" style="1" customWidth="1"/>
    <col min="7171" max="7171" width="115.7109375" style="1" customWidth="1"/>
    <col min="7172" max="7172" width="13.28515625" style="1" customWidth="1"/>
    <col min="7173" max="7174" width="0" style="1" hidden="1" customWidth="1"/>
    <col min="7175" max="7424" width="12.5703125" style="1"/>
    <col min="7425" max="7425" width="40.42578125" style="1" customWidth="1"/>
    <col min="7426" max="7426" width="21.85546875" style="1" customWidth="1"/>
    <col min="7427" max="7427" width="115.7109375" style="1" customWidth="1"/>
    <col min="7428" max="7428" width="13.28515625" style="1" customWidth="1"/>
    <col min="7429" max="7430" width="0" style="1" hidden="1" customWidth="1"/>
    <col min="7431" max="7680" width="12.5703125" style="1"/>
    <col min="7681" max="7681" width="40.42578125" style="1" customWidth="1"/>
    <col min="7682" max="7682" width="21.85546875" style="1" customWidth="1"/>
    <col min="7683" max="7683" width="115.7109375" style="1" customWidth="1"/>
    <col min="7684" max="7684" width="13.28515625" style="1" customWidth="1"/>
    <col min="7685" max="7686" width="0" style="1" hidden="1" customWidth="1"/>
    <col min="7687" max="7936" width="12.5703125" style="1"/>
    <col min="7937" max="7937" width="40.42578125" style="1" customWidth="1"/>
    <col min="7938" max="7938" width="21.85546875" style="1" customWidth="1"/>
    <col min="7939" max="7939" width="115.7109375" style="1" customWidth="1"/>
    <col min="7940" max="7940" width="13.28515625" style="1" customWidth="1"/>
    <col min="7941" max="7942" width="0" style="1" hidden="1" customWidth="1"/>
    <col min="7943" max="8192" width="12.5703125" style="1"/>
    <col min="8193" max="8193" width="40.42578125" style="1" customWidth="1"/>
    <col min="8194" max="8194" width="21.85546875" style="1" customWidth="1"/>
    <col min="8195" max="8195" width="115.7109375" style="1" customWidth="1"/>
    <col min="8196" max="8196" width="13.28515625" style="1" customWidth="1"/>
    <col min="8197" max="8198" width="0" style="1" hidden="1" customWidth="1"/>
    <col min="8199" max="8448" width="12.5703125" style="1"/>
    <col min="8449" max="8449" width="40.42578125" style="1" customWidth="1"/>
    <col min="8450" max="8450" width="21.85546875" style="1" customWidth="1"/>
    <col min="8451" max="8451" width="115.7109375" style="1" customWidth="1"/>
    <col min="8452" max="8452" width="13.28515625" style="1" customWidth="1"/>
    <col min="8453" max="8454" width="0" style="1" hidden="1" customWidth="1"/>
    <col min="8455" max="8704" width="12.5703125" style="1"/>
    <col min="8705" max="8705" width="40.42578125" style="1" customWidth="1"/>
    <col min="8706" max="8706" width="21.85546875" style="1" customWidth="1"/>
    <col min="8707" max="8707" width="115.7109375" style="1" customWidth="1"/>
    <col min="8708" max="8708" width="13.28515625" style="1" customWidth="1"/>
    <col min="8709" max="8710" width="0" style="1" hidden="1" customWidth="1"/>
    <col min="8711" max="8960" width="12.5703125" style="1"/>
    <col min="8961" max="8961" width="40.42578125" style="1" customWidth="1"/>
    <col min="8962" max="8962" width="21.85546875" style="1" customWidth="1"/>
    <col min="8963" max="8963" width="115.7109375" style="1" customWidth="1"/>
    <col min="8964" max="8964" width="13.28515625" style="1" customWidth="1"/>
    <col min="8965" max="8966" width="0" style="1" hidden="1" customWidth="1"/>
    <col min="8967" max="9216" width="12.5703125" style="1"/>
    <col min="9217" max="9217" width="40.42578125" style="1" customWidth="1"/>
    <col min="9218" max="9218" width="21.85546875" style="1" customWidth="1"/>
    <col min="9219" max="9219" width="115.7109375" style="1" customWidth="1"/>
    <col min="9220" max="9220" width="13.28515625" style="1" customWidth="1"/>
    <col min="9221" max="9222" width="0" style="1" hidden="1" customWidth="1"/>
    <col min="9223" max="9472" width="12.5703125" style="1"/>
    <col min="9473" max="9473" width="40.42578125" style="1" customWidth="1"/>
    <col min="9474" max="9474" width="21.85546875" style="1" customWidth="1"/>
    <col min="9475" max="9475" width="115.7109375" style="1" customWidth="1"/>
    <col min="9476" max="9476" width="13.28515625" style="1" customWidth="1"/>
    <col min="9477" max="9478" width="0" style="1" hidden="1" customWidth="1"/>
    <col min="9479" max="9728" width="12.5703125" style="1"/>
    <col min="9729" max="9729" width="40.42578125" style="1" customWidth="1"/>
    <col min="9730" max="9730" width="21.85546875" style="1" customWidth="1"/>
    <col min="9731" max="9731" width="115.7109375" style="1" customWidth="1"/>
    <col min="9732" max="9732" width="13.28515625" style="1" customWidth="1"/>
    <col min="9733" max="9734" width="0" style="1" hidden="1" customWidth="1"/>
    <col min="9735" max="9984" width="12.5703125" style="1"/>
    <col min="9985" max="9985" width="40.42578125" style="1" customWidth="1"/>
    <col min="9986" max="9986" width="21.85546875" style="1" customWidth="1"/>
    <col min="9987" max="9987" width="115.7109375" style="1" customWidth="1"/>
    <col min="9988" max="9988" width="13.28515625" style="1" customWidth="1"/>
    <col min="9989" max="9990" width="0" style="1" hidden="1" customWidth="1"/>
    <col min="9991" max="10240" width="12.5703125" style="1"/>
    <col min="10241" max="10241" width="40.42578125" style="1" customWidth="1"/>
    <col min="10242" max="10242" width="21.85546875" style="1" customWidth="1"/>
    <col min="10243" max="10243" width="115.7109375" style="1" customWidth="1"/>
    <col min="10244" max="10244" width="13.28515625" style="1" customWidth="1"/>
    <col min="10245" max="10246" width="0" style="1" hidden="1" customWidth="1"/>
    <col min="10247" max="10496" width="12.5703125" style="1"/>
    <col min="10497" max="10497" width="40.42578125" style="1" customWidth="1"/>
    <col min="10498" max="10498" width="21.85546875" style="1" customWidth="1"/>
    <col min="10499" max="10499" width="115.7109375" style="1" customWidth="1"/>
    <col min="10500" max="10500" width="13.28515625" style="1" customWidth="1"/>
    <col min="10501" max="10502" width="0" style="1" hidden="1" customWidth="1"/>
    <col min="10503" max="10752" width="12.5703125" style="1"/>
    <col min="10753" max="10753" width="40.42578125" style="1" customWidth="1"/>
    <col min="10754" max="10754" width="21.85546875" style="1" customWidth="1"/>
    <col min="10755" max="10755" width="115.7109375" style="1" customWidth="1"/>
    <col min="10756" max="10756" width="13.28515625" style="1" customWidth="1"/>
    <col min="10757" max="10758" width="0" style="1" hidden="1" customWidth="1"/>
    <col min="10759" max="11008" width="12.5703125" style="1"/>
    <col min="11009" max="11009" width="40.42578125" style="1" customWidth="1"/>
    <col min="11010" max="11010" width="21.85546875" style="1" customWidth="1"/>
    <col min="11011" max="11011" width="115.7109375" style="1" customWidth="1"/>
    <col min="11012" max="11012" width="13.28515625" style="1" customWidth="1"/>
    <col min="11013" max="11014" width="0" style="1" hidden="1" customWidth="1"/>
    <col min="11015" max="11264" width="12.5703125" style="1"/>
    <col min="11265" max="11265" width="40.42578125" style="1" customWidth="1"/>
    <col min="11266" max="11266" width="21.85546875" style="1" customWidth="1"/>
    <col min="11267" max="11267" width="115.7109375" style="1" customWidth="1"/>
    <col min="11268" max="11268" width="13.28515625" style="1" customWidth="1"/>
    <col min="11269" max="11270" width="0" style="1" hidden="1" customWidth="1"/>
    <col min="11271" max="11520" width="12.5703125" style="1"/>
    <col min="11521" max="11521" width="40.42578125" style="1" customWidth="1"/>
    <col min="11522" max="11522" width="21.85546875" style="1" customWidth="1"/>
    <col min="11523" max="11523" width="115.7109375" style="1" customWidth="1"/>
    <col min="11524" max="11524" width="13.28515625" style="1" customWidth="1"/>
    <col min="11525" max="11526" width="0" style="1" hidden="1" customWidth="1"/>
    <col min="11527" max="11776" width="12.5703125" style="1"/>
    <col min="11777" max="11777" width="40.42578125" style="1" customWidth="1"/>
    <col min="11778" max="11778" width="21.85546875" style="1" customWidth="1"/>
    <col min="11779" max="11779" width="115.7109375" style="1" customWidth="1"/>
    <col min="11780" max="11780" width="13.28515625" style="1" customWidth="1"/>
    <col min="11781" max="11782" width="0" style="1" hidden="1" customWidth="1"/>
    <col min="11783" max="12032" width="12.5703125" style="1"/>
    <col min="12033" max="12033" width="40.42578125" style="1" customWidth="1"/>
    <col min="12034" max="12034" width="21.85546875" style="1" customWidth="1"/>
    <col min="12035" max="12035" width="115.7109375" style="1" customWidth="1"/>
    <col min="12036" max="12036" width="13.28515625" style="1" customWidth="1"/>
    <col min="12037" max="12038" width="0" style="1" hidden="1" customWidth="1"/>
    <col min="12039" max="12288" width="12.5703125" style="1"/>
    <col min="12289" max="12289" width="40.42578125" style="1" customWidth="1"/>
    <col min="12290" max="12290" width="21.85546875" style="1" customWidth="1"/>
    <col min="12291" max="12291" width="115.7109375" style="1" customWidth="1"/>
    <col min="12292" max="12292" width="13.28515625" style="1" customWidth="1"/>
    <col min="12293" max="12294" width="0" style="1" hidden="1" customWidth="1"/>
    <col min="12295" max="12544" width="12.5703125" style="1"/>
    <col min="12545" max="12545" width="40.42578125" style="1" customWidth="1"/>
    <col min="12546" max="12546" width="21.85546875" style="1" customWidth="1"/>
    <col min="12547" max="12547" width="115.7109375" style="1" customWidth="1"/>
    <col min="12548" max="12548" width="13.28515625" style="1" customWidth="1"/>
    <col min="12549" max="12550" width="0" style="1" hidden="1" customWidth="1"/>
    <col min="12551" max="12800" width="12.5703125" style="1"/>
    <col min="12801" max="12801" width="40.42578125" style="1" customWidth="1"/>
    <col min="12802" max="12802" width="21.85546875" style="1" customWidth="1"/>
    <col min="12803" max="12803" width="115.7109375" style="1" customWidth="1"/>
    <col min="12804" max="12804" width="13.28515625" style="1" customWidth="1"/>
    <col min="12805" max="12806" width="0" style="1" hidden="1" customWidth="1"/>
    <col min="12807" max="13056" width="12.5703125" style="1"/>
    <col min="13057" max="13057" width="40.42578125" style="1" customWidth="1"/>
    <col min="13058" max="13058" width="21.85546875" style="1" customWidth="1"/>
    <col min="13059" max="13059" width="115.7109375" style="1" customWidth="1"/>
    <col min="13060" max="13060" width="13.28515625" style="1" customWidth="1"/>
    <col min="13061" max="13062" width="0" style="1" hidden="1" customWidth="1"/>
    <col min="13063" max="13312" width="12.5703125" style="1"/>
    <col min="13313" max="13313" width="40.42578125" style="1" customWidth="1"/>
    <col min="13314" max="13314" width="21.85546875" style="1" customWidth="1"/>
    <col min="13315" max="13315" width="115.7109375" style="1" customWidth="1"/>
    <col min="13316" max="13316" width="13.28515625" style="1" customWidth="1"/>
    <col min="13317" max="13318" width="0" style="1" hidden="1" customWidth="1"/>
    <col min="13319" max="13568" width="12.5703125" style="1"/>
    <col min="13569" max="13569" width="40.42578125" style="1" customWidth="1"/>
    <col min="13570" max="13570" width="21.85546875" style="1" customWidth="1"/>
    <col min="13571" max="13571" width="115.7109375" style="1" customWidth="1"/>
    <col min="13572" max="13572" width="13.28515625" style="1" customWidth="1"/>
    <col min="13573" max="13574" width="0" style="1" hidden="1" customWidth="1"/>
    <col min="13575" max="13824" width="12.5703125" style="1"/>
    <col min="13825" max="13825" width="40.42578125" style="1" customWidth="1"/>
    <col min="13826" max="13826" width="21.85546875" style="1" customWidth="1"/>
    <col min="13827" max="13827" width="115.7109375" style="1" customWidth="1"/>
    <col min="13828" max="13828" width="13.28515625" style="1" customWidth="1"/>
    <col min="13829" max="13830" width="0" style="1" hidden="1" customWidth="1"/>
    <col min="13831" max="14080" width="12.5703125" style="1"/>
    <col min="14081" max="14081" width="40.42578125" style="1" customWidth="1"/>
    <col min="14082" max="14082" width="21.85546875" style="1" customWidth="1"/>
    <col min="14083" max="14083" width="115.7109375" style="1" customWidth="1"/>
    <col min="14084" max="14084" width="13.28515625" style="1" customWidth="1"/>
    <col min="14085" max="14086" width="0" style="1" hidden="1" customWidth="1"/>
    <col min="14087" max="14336" width="12.5703125" style="1"/>
    <col min="14337" max="14337" width="40.42578125" style="1" customWidth="1"/>
    <col min="14338" max="14338" width="21.85546875" style="1" customWidth="1"/>
    <col min="14339" max="14339" width="115.7109375" style="1" customWidth="1"/>
    <col min="14340" max="14340" width="13.28515625" style="1" customWidth="1"/>
    <col min="14341" max="14342" width="0" style="1" hidden="1" customWidth="1"/>
    <col min="14343" max="14592" width="12.5703125" style="1"/>
    <col min="14593" max="14593" width="40.42578125" style="1" customWidth="1"/>
    <col min="14594" max="14594" width="21.85546875" style="1" customWidth="1"/>
    <col min="14595" max="14595" width="115.7109375" style="1" customWidth="1"/>
    <col min="14596" max="14596" width="13.28515625" style="1" customWidth="1"/>
    <col min="14597" max="14598" width="0" style="1" hidden="1" customWidth="1"/>
    <col min="14599" max="14848" width="12.5703125" style="1"/>
    <col min="14849" max="14849" width="40.42578125" style="1" customWidth="1"/>
    <col min="14850" max="14850" width="21.85546875" style="1" customWidth="1"/>
    <col min="14851" max="14851" width="115.7109375" style="1" customWidth="1"/>
    <col min="14852" max="14852" width="13.28515625" style="1" customWidth="1"/>
    <col min="14853" max="14854" width="0" style="1" hidden="1" customWidth="1"/>
    <col min="14855" max="15104" width="12.5703125" style="1"/>
    <col min="15105" max="15105" width="40.42578125" style="1" customWidth="1"/>
    <col min="15106" max="15106" width="21.85546875" style="1" customWidth="1"/>
    <col min="15107" max="15107" width="115.7109375" style="1" customWidth="1"/>
    <col min="15108" max="15108" width="13.28515625" style="1" customWidth="1"/>
    <col min="15109" max="15110" width="0" style="1" hidden="1" customWidth="1"/>
    <col min="15111" max="15360" width="12.5703125" style="1"/>
    <col min="15361" max="15361" width="40.42578125" style="1" customWidth="1"/>
    <col min="15362" max="15362" width="21.85546875" style="1" customWidth="1"/>
    <col min="15363" max="15363" width="115.7109375" style="1" customWidth="1"/>
    <col min="15364" max="15364" width="13.28515625" style="1" customWidth="1"/>
    <col min="15365" max="15366" width="0" style="1" hidden="1" customWidth="1"/>
    <col min="15367" max="15616" width="12.5703125" style="1"/>
    <col min="15617" max="15617" width="40.42578125" style="1" customWidth="1"/>
    <col min="15618" max="15618" width="21.85546875" style="1" customWidth="1"/>
    <col min="15619" max="15619" width="115.7109375" style="1" customWidth="1"/>
    <col min="15620" max="15620" width="13.28515625" style="1" customWidth="1"/>
    <col min="15621" max="15622" width="0" style="1" hidden="1" customWidth="1"/>
    <col min="15623" max="15872" width="12.5703125" style="1"/>
    <col min="15873" max="15873" width="40.42578125" style="1" customWidth="1"/>
    <col min="15874" max="15874" width="21.85546875" style="1" customWidth="1"/>
    <col min="15875" max="15875" width="115.7109375" style="1" customWidth="1"/>
    <col min="15876" max="15876" width="13.28515625" style="1" customWidth="1"/>
    <col min="15877" max="15878" width="0" style="1" hidden="1" customWidth="1"/>
    <col min="15879" max="16128" width="12.5703125" style="1"/>
    <col min="16129" max="16129" width="40.42578125" style="1" customWidth="1"/>
    <col min="16130" max="16130" width="21.85546875" style="1" customWidth="1"/>
    <col min="16131" max="16131" width="115.7109375" style="1" customWidth="1"/>
    <col min="16132" max="16132" width="13.28515625" style="1" customWidth="1"/>
    <col min="16133" max="16134" width="0" style="1" hidden="1" customWidth="1"/>
    <col min="16135" max="16384" width="12.5703125" style="1"/>
  </cols>
  <sheetData>
    <row r="2" spans="1:7" ht="23.25" customHeight="1">
      <c r="C2" s="2" t="str">
        <f>HLOOKUP($F$2,Nombres!$C$3:$E$853,192)</f>
        <v>Quarterly series 2017-2018</v>
      </c>
      <c r="F2" s="3">
        <v>1</v>
      </c>
    </row>
    <row r="4" spans="1:7" ht="23.25" customHeight="1">
      <c r="A4" s="4"/>
      <c r="C4" s="5" t="str">
        <f>HLOOKUP($F$2,Nombres!$C$3:$E$853,200)</f>
        <v>BBVA Group</v>
      </c>
      <c r="D4" s="6"/>
      <c r="E4" s="1" t="b">
        <v>0</v>
      </c>
      <c r="G4" s="7"/>
    </row>
    <row r="5" spans="1:7" ht="23.25" customHeight="1">
      <c r="C5" s="8" t="str">
        <f>HLOOKUP($F$2,Nombres!$C$3:$E$853,267)</f>
        <v>Consolidated income statement</v>
      </c>
      <c r="E5" s="1" t="b">
        <v>0</v>
      </c>
      <c r="F5" s="1" t="b">
        <f>OR($E$4,E5)</f>
        <v>0</v>
      </c>
      <c r="G5" s="7"/>
    </row>
    <row r="6" spans="1:7" ht="23.25" customHeight="1">
      <c r="C6" s="8" t="str">
        <f>HLOOKUP($F$2,Nombres!$C$3:$E$853,196)</f>
        <v>Consolidated balance sheet</v>
      </c>
      <c r="E6" s="1" t="b">
        <v>0</v>
      </c>
      <c r="F6" s="1" t="b">
        <f>OR($E$4,E6)</f>
        <v>0</v>
      </c>
      <c r="G6" s="7"/>
    </row>
    <row r="7" spans="1:7" ht="23.25" customHeight="1">
      <c r="A7" s="9" t="s">
        <v>0</v>
      </c>
      <c r="C7" s="10"/>
      <c r="G7" s="7"/>
    </row>
    <row r="8" spans="1:7" ht="23.25" customHeight="1">
      <c r="A8" s="11" t="s">
        <v>1</v>
      </c>
      <c r="B8" s="12"/>
      <c r="C8" s="5" t="str">
        <f>HLOOKUP($F$2,Nombres!$C$3:$E$853,193)</f>
        <v>Business areas</v>
      </c>
      <c r="D8" s="12"/>
      <c r="E8" s="12" t="b">
        <v>0</v>
      </c>
      <c r="F8" s="13"/>
      <c r="G8" s="14"/>
    </row>
    <row r="9" spans="1:7" s="15" customFormat="1" ht="23.25" customHeight="1">
      <c r="C9" s="8" t="str">
        <f>HLOOKUP($F$2,Nombres!$C$3:$E$853,7)</f>
        <v>Banking activity in Spain</v>
      </c>
      <c r="E9" s="15" t="b">
        <v>1</v>
      </c>
      <c r="F9" s="1" t="b">
        <f t="shared" ref="F9:F21" si="0">OR($E$8,E9)</f>
        <v>1</v>
      </c>
      <c r="G9" s="16"/>
    </row>
    <row r="10" spans="1:7" ht="23.25" customHeight="1">
      <c r="C10" s="8" t="str">
        <f>HLOOKUP($F$2,Nombres!$C$3:$E$853,279)</f>
        <v>Non Core Real Estate</v>
      </c>
      <c r="E10" s="1" t="b">
        <v>1</v>
      </c>
      <c r="F10" s="1" t="b">
        <f t="shared" si="0"/>
        <v>1</v>
      </c>
      <c r="G10" s="7"/>
    </row>
    <row r="11" spans="1:7" ht="23.25" customHeight="1">
      <c r="C11" s="17" t="str">
        <f>HLOOKUP($F$2,Nombres!$C$3:$E$853,262)</f>
        <v>Coverage of real-estate exposure</v>
      </c>
      <c r="E11" s="1" t="b">
        <v>1</v>
      </c>
      <c r="F11" s="1" t="b">
        <f t="shared" si="0"/>
        <v>1</v>
      </c>
      <c r="G11" s="7"/>
    </row>
    <row r="12" spans="1:7" ht="23.25" customHeight="1">
      <c r="C12" s="8" t="str">
        <f>HLOOKUP($F$2,Nombres!$C$3:$E$853,20)</f>
        <v>The United States</v>
      </c>
      <c r="E12" s="1" t="b">
        <v>1</v>
      </c>
      <c r="F12" s="1" t="b">
        <f t="shared" si="0"/>
        <v>1</v>
      </c>
      <c r="G12" s="7"/>
    </row>
    <row r="13" spans="1:7" s="18" customFormat="1" ht="23.25" customHeight="1">
      <c r="B13" s="19"/>
      <c r="C13" s="8" t="str">
        <f>HLOOKUP($F$2,Nombres!$C$3:$E$853,9)</f>
        <v>Mexico</v>
      </c>
      <c r="D13" s="1"/>
      <c r="E13" s="1" t="b">
        <v>1</v>
      </c>
      <c r="F13" s="20" t="b">
        <f>OR($E$8,E13)</f>
        <v>1</v>
      </c>
      <c r="G13" s="21"/>
    </row>
    <row r="14" spans="1:7" ht="23.25" customHeight="1">
      <c r="C14" s="8" t="str">
        <f>HLOOKUP($F$2,Nombres!$C$3:$E$853,295)</f>
        <v xml:space="preserve">Turkey </v>
      </c>
      <c r="E14" s="1" t="b">
        <v>0</v>
      </c>
      <c r="F14" s="1" t="b">
        <f t="shared" si="0"/>
        <v>0</v>
      </c>
      <c r="G14" s="7"/>
    </row>
    <row r="15" spans="1:7" s="18" customFormat="1" ht="23.25" customHeight="1">
      <c r="A15" s="19"/>
      <c r="B15" s="19"/>
      <c r="C15" s="8" t="str">
        <f>HLOOKUP($F$2,Nombres!$C$3:$E$853,12)</f>
        <v>South America</v>
      </c>
      <c r="E15" s="1" t="b">
        <v>0</v>
      </c>
      <c r="F15" s="20" t="b">
        <f t="shared" si="0"/>
        <v>0</v>
      </c>
      <c r="G15" s="21"/>
    </row>
    <row r="16" spans="1:7" s="18" customFormat="1" ht="23.25" customHeight="1">
      <c r="A16" s="19"/>
      <c r="B16" s="19"/>
      <c r="C16" s="17" t="str">
        <f>HLOOKUP($F$2,Nombres!$C$3:$E$853,15)</f>
        <v>Argentina</v>
      </c>
      <c r="E16" s="1" t="b">
        <v>1</v>
      </c>
      <c r="F16" s="20" t="b">
        <f t="shared" si="0"/>
        <v>1</v>
      </c>
      <c r="G16" s="21"/>
    </row>
    <row r="17" spans="1:7" ht="23.25" customHeight="1">
      <c r="C17" s="17" t="str">
        <f>HLOOKUP($F$2,Nombres!$C$3:$E$853,16)</f>
        <v>Chile</v>
      </c>
      <c r="D17" s="18"/>
      <c r="E17" s="1" t="b">
        <v>0</v>
      </c>
      <c r="F17" s="1" t="b">
        <f t="shared" si="0"/>
        <v>0</v>
      </c>
      <c r="G17" s="7"/>
    </row>
    <row r="18" spans="1:7" ht="21.75" customHeight="1">
      <c r="C18" s="17" t="str">
        <f>HLOOKUP($F$2,Nombres!$C$3:$E$853,17)</f>
        <v>Colombia</v>
      </c>
      <c r="D18" s="18"/>
      <c r="E18" s="1" t="b">
        <v>0</v>
      </c>
      <c r="F18" s="1" t="b">
        <f t="shared" si="0"/>
        <v>0</v>
      </c>
      <c r="G18" s="7"/>
    </row>
    <row r="19" spans="1:7" ht="23.25" customHeight="1">
      <c r="A19" s="4"/>
      <c r="C19" s="17" t="str">
        <f>HLOOKUP($F$2,Nombres!$C$3:$E$853,18)</f>
        <v>Peru</v>
      </c>
      <c r="D19" s="18"/>
      <c r="E19" s="1" t="b">
        <v>0</v>
      </c>
      <c r="F19" s="1" t="b">
        <f t="shared" si="0"/>
        <v>0</v>
      </c>
      <c r="G19" s="7"/>
    </row>
    <row r="20" spans="1:7" ht="23.25" customHeight="1">
      <c r="C20" s="8" t="str">
        <f>HLOOKUP($F$2,Nombres!$C$3:$E$853,184)</f>
        <v>Rest of Eurasia</v>
      </c>
      <c r="D20" s="18"/>
      <c r="E20" s="1" t="b">
        <v>0</v>
      </c>
      <c r="F20" s="1" t="b">
        <f>OR($E$8,E20)</f>
        <v>0</v>
      </c>
      <c r="G20" s="7"/>
    </row>
    <row r="21" spans="1:7" ht="23.25" customHeight="1">
      <c r="C21" s="8" t="str">
        <f>HLOOKUP($F$2,Nombres!$C$3:$E$853,25)</f>
        <v xml:space="preserve">Corporate Center </v>
      </c>
      <c r="E21" s="1" t="b">
        <v>0</v>
      </c>
      <c r="F21" s="1" t="b">
        <f t="shared" si="0"/>
        <v>0</v>
      </c>
      <c r="G21" s="7"/>
    </row>
    <row r="22" spans="1:7" ht="23.25" customHeight="1">
      <c r="C22" s="10"/>
      <c r="G22" s="7"/>
    </row>
    <row r="23" spans="1:7" ht="23.25" customHeight="1">
      <c r="C23" s="5" t="str">
        <f>HLOOKUP($F$2,Nombres!$C$3:$E$853,194)</f>
        <v>Additional information:</v>
      </c>
      <c r="G23" s="7"/>
    </row>
    <row r="24" spans="1:7" ht="23.25" customHeight="1">
      <c r="C24" s="8" t="str">
        <f>HLOOKUP($F$2,Nombres!$C$3:$E$853,268)</f>
        <v>Corporate &amp; Investment Banking</v>
      </c>
      <c r="E24" s="1" t="b">
        <v>0</v>
      </c>
      <c r="F24" s="1" t="b">
        <f>OR($E$8,E24)</f>
        <v>0</v>
      </c>
      <c r="G24" s="7"/>
    </row>
    <row r="25" spans="1:7" ht="24.75" customHeight="1">
      <c r="C25" s="5" t="str">
        <f>HLOOKUP($F$2,Nombres!$C$3:$E$853,201)</f>
        <v>Annex:</v>
      </c>
      <c r="D25" s="15"/>
      <c r="G25" s="7"/>
    </row>
    <row r="26" spans="1:7" s="15" customFormat="1" ht="23.25" customHeight="1">
      <c r="C26" s="22" t="str">
        <f>HLOOKUP($F$2,Nombres!$C$3:$E$853,26)</f>
        <v>Efficiency</v>
      </c>
      <c r="D26" s="1"/>
      <c r="E26" s="15" t="b">
        <v>0</v>
      </c>
      <c r="F26" s="1" t="b">
        <f t="shared" ref="F26:F33" si="1">OR($E$25,E26)</f>
        <v>0</v>
      </c>
      <c r="G26" s="16"/>
    </row>
    <row r="27" spans="1:7" s="23" customFormat="1" ht="23.25" customHeight="1">
      <c r="C27" s="22" t="str">
        <f>HLOOKUP($F$2,Nombres!$C$3:$E$853,27)</f>
        <v>NPL, coverage ratios and cost of risk</v>
      </c>
      <c r="D27" s="1"/>
      <c r="E27" s="23" t="b">
        <v>0</v>
      </c>
      <c r="F27" s="23" t="b">
        <f t="shared" si="1"/>
        <v>0</v>
      </c>
      <c r="G27" s="24"/>
    </row>
    <row r="28" spans="1:7" ht="23.25" customHeight="1">
      <c r="C28" s="22" t="str">
        <f>HLOOKUP($F$2,Nombres!$C$3:$E$853,28)</f>
        <v>Branches, employees and atm´s</v>
      </c>
      <c r="E28" s="1" t="b">
        <v>0</v>
      </c>
      <c r="F28" s="1" t="b">
        <f t="shared" si="1"/>
        <v>0</v>
      </c>
      <c r="G28" s="7"/>
    </row>
    <row r="29" spans="1:7" ht="22.5" customHeight="1">
      <c r="C29" s="22" t="str">
        <f>HLOOKUP($F$2,Nombres!$C$3:$E$853,182)</f>
        <v>Exchange rates</v>
      </c>
      <c r="E29" s="1" t="b">
        <v>0</v>
      </c>
      <c r="F29" s="1" t="b">
        <f t="shared" si="1"/>
        <v>0</v>
      </c>
      <c r="G29" s="7"/>
    </row>
    <row r="30" spans="1:7" ht="22.5" customHeight="1">
      <c r="C30" s="22" t="str">
        <f>HLOOKUP($F$2,Nombres!$C$3:$E$853,328)</f>
        <v>Customer Spreads</v>
      </c>
      <c r="D30" s="15"/>
      <c r="E30" s="1" t="b">
        <v>1</v>
      </c>
      <c r="F30" s="1" t="b">
        <f t="shared" si="1"/>
        <v>1</v>
      </c>
    </row>
    <row r="31" spans="1:7" ht="23.25" customHeight="1">
      <c r="C31" s="22" t="str">
        <f>HLOOKUP($F$2,Nombres!$C$3:$E$853,354)</f>
        <v>Risk-weighted assets. Breakdown by business areas and main countries</v>
      </c>
      <c r="D31" s="23"/>
      <c r="E31" s="1" t="b">
        <v>0</v>
      </c>
      <c r="F31" s="1" t="b">
        <f t="shared" si="1"/>
        <v>0</v>
      </c>
    </row>
    <row r="32" spans="1:7" ht="23.25" customHeight="1">
      <c r="C32" s="22" t="str">
        <f>HLOOKUP($F$2,Nombres!$C$3:$E$874,397)</f>
        <v>Breakdown of performing loans under management</v>
      </c>
      <c r="E32" s="1" t="b">
        <v>0</v>
      </c>
      <c r="F32" s="1" t="b">
        <f t="shared" si="1"/>
        <v>0</v>
      </c>
    </row>
    <row r="33" spans="3:6" ht="23.25" customHeight="1">
      <c r="C33" s="22" t="str">
        <f>HLOOKUP($F$2,Nombres!$C$3:$E$874,398)</f>
        <v>Breakdown of customer funds under management</v>
      </c>
      <c r="E33" s="1" t="b">
        <v>0</v>
      </c>
      <c r="F33" s="1" t="b">
        <f t="shared" si="1"/>
        <v>0</v>
      </c>
    </row>
  </sheetData>
  <hyperlinks>
    <hyperlink ref="C13" location="México!A1" display="México!A1"/>
    <hyperlink ref="C15" location="'América del Sur'!A1" display="'América del Sur'!A1"/>
    <hyperlink ref="C21" location="'Centro corporativo'!A1" display="'Centro corporativo'!A1"/>
    <hyperlink ref="C26:C28" location="'Cuenta de resultados'!A1" display="'Cuenta de resultados'!A1"/>
    <hyperlink ref="C16" location="Argentina!A1" display="Argentina!A1"/>
    <hyperlink ref="C17" location="Chile!A1" display="Chile!A1"/>
    <hyperlink ref="C19" location="Perú!A1" display="Perú!A1"/>
    <hyperlink ref="C26" location="Eficiencia!A1" display="Eficiencia!A1"/>
    <hyperlink ref="C27" location="'Mora,cobertura,coste de riesgo'!A1" display="'Mora,cobertura,coste de riesgo'!A1"/>
    <hyperlink ref="C28" location="'Empleados,oficinas y cajeros'!A1" display="'Empleados,oficinas y cajeros'!A1"/>
    <hyperlink ref="C5" location="'Cuenta de resultados'!A1" display="'Cuenta de resultados'!A1"/>
    <hyperlink ref="C9" location="'Actividad bancaria en España'!A1" display="'Actividad bancaria en España'!A1"/>
    <hyperlink ref="C6" location="'Balances consolidados'!A1" display="'Balances consolidados'!A1"/>
    <hyperlink ref="C18" location="Colombia!A1" display="Colombia!A1"/>
    <hyperlink ref="C11" location="'Exposición inmobiliaria'!A1" display="'Exposición inmobiliaria'!A1"/>
    <hyperlink ref="C24" location="'Corporate &amp; Investment Banking'!A1" display="'Corporate &amp; Investment Banking'!A1"/>
    <hyperlink ref="C10" location="'Non core real estate'!A1" display="'Non core real estate'!A1"/>
    <hyperlink ref="C14" location="Turquía!A1" display="Turquía!A1"/>
    <hyperlink ref="C12" location="'Estados Unidos'!A1" display="'Estados Unidos'!A1"/>
    <hyperlink ref="C20" location="'Resto de Eurasia'!A1" display="'Resto de Eurasia'!A1"/>
    <hyperlink ref="C29" location="'Tipos de cambio'!A1" display="'Tipos de cambio'!A1"/>
    <hyperlink ref="C30" location="'Diferenciales de la clientela'!A1" display="'Diferenciales de la clientela'!A1"/>
    <hyperlink ref="C31" location="'APR'!A1" display="'APR'!A1"/>
    <hyperlink ref="C32" location="Inversion!A1" display="Inversion!A1"/>
    <hyperlink ref="C33" location="Recursos!A1" display="Recursos!A1"/>
  </hyperlinks>
  <pageMargins left="0.75" right="0.75" top="1" bottom="1" header="0" footer="0"/>
  <pageSetup scale="5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0</xdr:col>
                    <xdr:colOff>85725</xdr:colOff>
                    <xdr:row>7</xdr:row>
                    <xdr:rowOff>0</xdr:rowOff>
                  </from>
                  <to>
                    <xdr:col>0</xdr:col>
                    <xdr:colOff>419100</xdr:colOff>
                    <xdr:row>7</xdr:row>
                    <xdr:rowOff>266700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0</xdr:col>
                    <xdr:colOff>85725</xdr:colOff>
                    <xdr:row>6</xdr:row>
                    <xdr:rowOff>0</xdr:rowOff>
                  </from>
                  <to>
                    <xdr:col>0</xdr:col>
                    <xdr:colOff>409575</xdr:colOff>
                    <xdr:row>6</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showGridLines="0" zoomScale="85" zoomScaleNormal="85" workbookViewId="0"/>
  </sheetViews>
  <sheetFormatPr baseColWidth="10" defaultRowHeight="15"/>
  <cols>
    <col min="1" max="1" width="66.7109375" style="217" customWidth="1"/>
    <col min="2" max="2" width="10.7109375" customWidth="1"/>
    <col min="3" max="5" width="10.7109375" style="218" customWidth="1"/>
    <col min="6" max="8" width="10.7109375" customWidth="1"/>
    <col min="9" max="9" width="11.42578125" style="86"/>
    <col min="256" max="256" width="66.7109375" customWidth="1"/>
    <col min="257" max="264" width="10.7109375" customWidth="1"/>
    <col min="512" max="512" width="66.7109375" customWidth="1"/>
    <col min="513" max="520" width="10.7109375" customWidth="1"/>
    <col min="768" max="768" width="66.7109375" customWidth="1"/>
    <col min="769" max="776" width="10.7109375" customWidth="1"/>
    <col min="1024" max="1024" width="66.7109375" customWidth="1"/>
    <col min="1025" max="1032" width="10.7109375" customWidth="1"/>
    <col min="1280" max="1280" width="66.7109375" customWidth="1"/>
    <col min="1281" max="1288" width="10.7109375" customWidth="1"/>
    <col min="1536" max="1536" width="66.7109375" customWidth="1"/>
    <col min="1537" max="1544" width="10.7109375" customWidth="1"/>
    <col min="1792" max="1792" width="66.7109375" customWidth="1"/>
    <col min="1793" max="1800" width="10.7109375" customWidth="1"/>
    <col min="2048" max="2048" width="66.7109375" customWidth="1"/>
    <col min="2049" max="2056" width="10.7109375" customWidth="1"/>
    <col min="2304" max="2304" width="66.7109375" customWidth="1"/>
    <col min="2305" max="2312" width="10.7109375" customWidth="1"/>
    <col min="2560" max="2560" width="66.7109375" customWidth="1"/>
    <col min="2561" max="2568" width="10.7109375" customWidth="1"/>
    <col min="2816" max="2816" width="66.7109375" customWidth="1"/>
    <col min="2817" max="2824" width="10.7109375" customWidth="1"/>
    <col min="3072" max="3072" width="66.7109375" customWidth="1"/>
    <col min="3073" max="3080" width="10.7109375" customWidth="1"/>
    <col min="3328" max="3328" width="66.7109375" customWidth="1"/>
    <col min="3329" max="3336" width="10.7109375" customWidth="1"/>
    <col min="3584" max="3584" width="66.7109375" customWidth="1"/>
    <col min="3585" max="3592" width="10.7109375" customWidth="1"/>
    <col min="3840" max="3840" width="66.7109375" customWidth="1"/>
    <col min="3841" max="3848" width="10.7109375" customWidth="1"/>
    <col min="4096" max="4096" width="66.7109375" customWidth="1"/>
    <col min="4097" max="4104" width="10.7109375" customWidth="1"/>
    <col min="4352" max="4352" width="66.7109375" customWidth="1"/>
    <col min="4353" max="4360" width="10.7109375" customWidth="1"/>
    <col min="4608" max="4608" width="66.7109375" customWidth="1"/>
    <col min="4609" max="4616" width="10.7109375" customWidth="1"/>
    <col min="4864" max="4864" width="66.7109375" customWidth="1"/>
    <col min="4865" max="4872" width="10.7109375" customWidth="1"/>
    <col min="5120" max="5120" width="66.7109375" customWidth="1"/>
    <col min="5121" max="5128" width="10.7109375" customWidth="1"/>
    <col min="5376" max="5376" width="66.7109375" customWidth="1"/>
    <col min="5377" max="5384" width="10.7109375" customWidth="1"/>
    <col min="5632" max="5632" width="66.7109375" customWidth="1"/>
    <col min="5633" max="5640" width="10.7109375" customWidth="1"/>
    <col min="5888" max="5888" width="66.7109375" customWidth="1"/>
    <col min="5889" max="5896" width="10.7109375" customWidth="1"/>
    <col min="6144" max="6144" width="66.7109375" customWidth="1"/>
    <col min="6145" max="6152" width="10.7109375" customWidth="1"/>
    <col min="6400" max="6400" width="66.7109375" customWidth="1"/>
    <col min="6401" max="6408" width="10.7109375" customWidth="1"/>
    <col min="6656" max="6656" width="66.7109375" customWidth="1"/>
    <col min="6657" max="6664" width="10.7109375" customWidth="1"/>
    <col min="6912" max="6912" width="66.7109375" customWidth="1"/>
    <col min="6913" max="6920" width="10.7109375" customWidth="1"/>
    <col min="7168" max="7168" width="66.7109375" customWidth="1"/>
    <col min="7169" max="7176" width="10.7109375" customWidth="1"/>
    <col min="7424" max="7424" width="66.7109375" customWidth="1"/>
    <col min="7425" max="7432" width="10.7109375" customWidth="1"/>
    <col min="7680" max="7680" width="66.7109375" customWidth="1"/>
    <col min="7681" max="7688" width="10.7109375" customWidth="1"/>
    <col min="7936" max="7936" width="66.7109375" customWidth="1"/>
    <col min="7937" max="7944" width="10.7109375" customWidth="1"/>
    <col min="8192" max="8192" width="66.7109375" customWidth="1"/>
    <col min="8193" max="8200" width="10.7109375" customWidth="1"/>
    <col min="8448" max="8448" width="66.7109375" customWidth="1"/>
    <col min="8449" max="8456" width="10.7109375" customWidth="1"/>
    <col min="8704" max="8704" width="66.7109375" customWidth="1"/>
    <col min="8705" max="8712" width="10.7109375" customWidth="1"/>
    <col min="8960" max="8960" width="66.7109375" customWidth="1"/>
    <col min="8961" max="8968" width="10.7109375" customWidth="1"/>
    <col min="9216" max="9216" width="66.7109375" customWidth="1"/>
    <col min="9217" max="9224" width="10.7109375" customWidth="1"/>
    <col min="9472" max="9472" width="66.7109375" customWidth="1"/>
    <col min="9473" max="9480" width="10.7109375" customWidth="1"/>
    <col min="9728" max="9728" width="66.7109375" customWidth="1"/>
    <col min="9729" max="9736" width="10.7109375" customWidth="1"/>
    <col min="9984" max="9984" width="66.7109375" customWidth="1"/>
    <col min="9985" max="9992" width="10.7109375" customWidth="1"/>
    <col min="10240" max="10240" width="66.7109375" customWidth="1"/>
    <col min="10241" max="10248" width="10.7109375" customWidth="1"/>
    <col min="10496" max="10496" width="66.7109375" customWidth="1"/>
    <col min="10497" max="10504" width="10.7109375" customWidth="1"/>
    <col min="10752" max="10752" width="66.7109375" customWidth="1"/>
    <col min="10753" max="10760" width="10.7109375" customWidth="1"/>
    <col min="11008" max="11008" width="66.7109375" customWidth="1"/>
    <col min="11009" max="11016" width="10.7109375" customWidth="1"/>
    <col min="11264" max="11264" width="66.7109375" customWidth="1"/>
    <col min="11265" max="11272" width="10.7109375" customWidth="1"/>
    <col min="11520" max="11520" width="66.7109375" customWidth="1"/>
    <col min="11521" max="11528" width="10.7109375" customWidth="1"/>
    <col min="11776" max="11776" width="66.7109375" customWidth="1"/>
    <col min="11777" max="11784" width="10.7109375" customWidth="1"/>
    <col min="12032" max="12032" width="66.7109375" customWidth="1"/>
    <col min="12033" max="12040" width="10.7109375" customWidth="1"/>
    <col min="12288" max="12288" width="66.7109375" customWidth="1"/>
    <col min="12289" max="12296" width="10.7109375" customWidth="1"/>
    <col min="12544" max="12544" width="66.7109375" customWidth="1"/>
    <col min="12545" max="12552" width="10.7109375" customWidth="1"/>
    <col min="12800" max="12800" width="66.7109375" customWidth="1"/>
    <col min="12801" max="12808" width="10.7109375" customWidth="1"/>
    <col min="13056" max="13056" width="66.7109375" customWidth="1"/>
    <col min="13057" max="13064" width="10.7109375" customWidth="1"/>
    <col min="13312" max="13312" width="66.7109375" customWidth="1"/>
    <col min="13313" max="13320" width="10.7109375" customWidth="1"/>
    <col min="13568" max="13568" width="66.7109375" customWidth="1"/>
    <col min="13569" max="13576" width="10.7109375" customWidth="1"/>
    <col min="13824" max="13824" width="66.7109375" customWidth="1"/>
    <col min="13825" max="13832" width="10.7109375" customWidth="1"/>
    <col min="14080" max="14080" width="66.7109375" customWidth="1"/>
    <col min="14081" max="14088" width="10.7109375" customWidth="1"/>
    <col min="14336" max="14336" width="66.7109375" customWidth="1"/>
    <col min="14337" max="14344" width="10.7109375" customWidth="1"/>
    <col min="14592" max="14592" width="66.7109375" customWidth="1"/>
    <col min="14593" max="14600" width="10.7109375" customWidth="1"/>
    <col min="14848" max="14848" width="66.7109375" customWidth="1"/>
    <col min="14849" max="14856" width="10.7109375" customWidth="1"/>
    <col min="15104" max="15104" width="66.7109375" customWidth="1"/>
    <col min="15105" max="15112" width="10.7109375" customWidth="1"/>
    <col min="15360" max="15360" width="66.7109375" customWidth="1"/>
    <col min="15361" max="15368" width="10.7109375" customWidth="1"/>
    <col min="15616" max="15616" width="66.7109375" customWidth="1"/>
    <col min="15617" max="15624" width="10.7109375" customWidth="1"/>
    <col min="15872" max="15872" width="66.7109375" customWidth="1"/>
    <col min="15873" max="15880" width="10.7109375" customWidth="1"/>
    <col min="16128" max="16128" width="66.7109375" customWidth="1"/>
    <col min="16129" max="16136" width="10.7109375" customWidth="1"/>
  </cols>
  <sheetData>
    <row r="1" spans="1:9" ht="18" customHeight="1">
      <c r="A1" s="197" t="str">
        <f>HLOOKUP(INDICE!$F$2,Nombres!$C$3:$E$853,12)</f>
        <v>South America</v>
      </c>
      <c r="B1" s="70"/>
      <c r="C1" s="70"/>
      <c r="D1" s="70"/>
      <c r="E1" s="70"/>
      <c r="F1" s="70"/>
      <c r="G1" s="70"/>
      <c r="H1" s="70"/>
    </row>
    <row r="2" spans="1:9" ht="18" customHeight="1">
      <c r="A2" s="236"/>
      <c r="B2" s="70"/>
      <c r="C2" s="70"/>
      <c r="D2" s="70"/>
      <c r="E2" s="70"/>
      <c r="F2" s="70"/>
      <c r="G2" s="70"/>
      <c r="H2" s="70"/>
    </row>
    <row r="3" spans="1:9" ht="18" customHeight="1">
      <c r="A3" s="65" t="str">
        <f>HLOOKUP(INDICE!$F$2,Nombres!$C$3:$E$853,93)</f>
        <v xml:space="preserve">Income statement  </v>
      </c>
      <c r="B3" s="67"/>
      <c r="C3" s="67"/>
      <c r="D3" s="67"/>
      <c r="E3" s="67"/>
      <c r="F3" s="67"/>
      <c r="G3" s="67"/>
      <c r="H3" s="67"/>
      <c r="I3" s="85"/>
    </row>
    <row r="4" spans="1:9">
      <c r="A4" s="68" t="str">
        <f>HLOOKUP(INDICE!$F$2,Nombres!$C$3:$E$853,30)</f>
        <v>(Million euros)</v>
      </c>
      <c r="B4" s="72"/>
      <c r="C4" s="200"/>
      <c r="D4" s="200"/>
      <c r="E4" s="200"/>
      <c r="F4" s="72"/>
      <c r="G4" s="72"/>
      <c r="H4" s="72"/>
      <c r="I4" s="85"/>
    </row>
    <row r="5" spans="1:9" ht="15.75">
      <c r="A5" s="201"/>
      <c r="B5" s="237"/>
      <c r="C5" s="238"/>
      <c r="D5" s="238"/>
      <c r="E5" s="238"/>
      <c r="F5" s="237"/>
      <c r="G5" s="237"/>
      <c r="H5" s="237"/>
      <c r="I5" s="85"/>
    </row>
    <row r="6" spans="1:9" ht="15.75">
      <c r="A6" s="73"/>
      <c r="B6" s="315">
        <v>2017</v>
      </c>
      <c r="C6" s="316"/>
      <c r="D6" s="316"/>
      <c r="E6" s="323"/>
      <c r="F6" s="315">
        <v>2018</v>
      </c>
      <c r="G6" s="316"/>
      <c r="H6" s="316"/>
      <c r="I6" s="85"/>
    </row>
    <row r="7" spans="1:9" ht="15.75">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c r="I7" s="85"/>
    </row>
    <row r="8" spans="1:9">
      <c r="A8" s="139" t="str">
        <f>HLOOKUP(INDICE!$F$2,Nombres!$C$3:$E$853,38)</f>
        <v>Net interest income</v>
      </c>
      <c r="B8" s="202">
        <v>807.27195010000003</v>
      </c>
      <c r="C8" s="77">
        <v>810.11087531999988</v>
      </c>
      <c r="D8" s="77">
        <v>775.84006631999978</v>
      </c>
      <c r="E8" s="203">
        <v>806.86269360999995</v>
      </c>
      <c r="F8" s="77">
        <v>791.59995217999995</v>
      </c>
      <c r="G8" s="77">
        <v>814.77783860999989</v>
      </c>
      <c r="H8" s="77">
        <v>619.97972437999999</v>
      </c>
      <c r="I8" s="85"/>
    </row>
    <row r="9" spans="1:9">
      <c r="A9" s="125" t="str">
        <f>HLOOKUP(INDICE!$F$2,Nombres!$C$3:$E$853,39)</f>
        <v>Net fees and commissions</v>
      </c>
      <c r="B9" s="204">
        <v>176.40459603000002</v>
      </c>
      <c r="C9" s="82">
        <v>175.37012191000002</v>
      </c>
      <c r="D9" s="82">
        <v>180.08005555</v>
      </c>
      <c r="E9" s="205">
        <v>180.94921389000004</v>
      </c>
      <c r="F9" s="82">
        <v>163.24559732</v>
      </c>
      <c r="G9" s="82">
        <v>169.31461717999997</v>
      </c>
      <c r="H9" s="82">
        <v>122.19974558000001</v>
      </c>
      <c r="I9" s="85"/>
    </row>
    <row r="10" spans="1:9">
      <c r="A10" s="125" t="str">
        <f>HLOOKUP(INDICE!$F$2,Nombres!$C$3:$E$853,40)</f>
        <v>Net trading income</v>
      </c>
      <c r="B10" s="204">
        <v>114.69402744999998</v>
      </c>
      <c r="C10" s="82">
        <v>131.83637174</v>
      </c>
      <c r="D10" s="82">
        <v>103.69864111000001</v>
      </c>
      <c r="E10" s="205">
        <v>129.49429482999997</v>
      </c>
      <c r="F10" s="82">
        <v>111.64317580000001</v>
      </c>
      <c r="G10" s="82">
        <v>119.41226997000005</v>
      </c>
      <c r="H10" s="82">
        <v>71.580593929999978</v>
      </c>
      <c r="I10" s="85"/>
    </row>
    <row r="11" spans="1:9">
      <c r="A11" s="125" t="str">
        <f>HLOOKUP(INDICE!$F$2,Nombres!$C$3:$E$853,95)</f>
        <v>Other operating income and expenses</v>
      </c>
      <c r="B11" s="204">
        <v>5.3789979400000023</v>
      </c>
      <c r="C11" s="82">
        <v>30.582002560000003</v>
      </c>
      <c r="D11" s="82">
        <v>28.935997569999998</v>
      </c>
      <c r="E11" s="205">
        <v>-6.0649982300000049</v>
      </c>
      <c r="F11" s="82">
        <v>12.021000000000001</v>
      </c>
      <c r="G11" s="82">
        <v>14.881999999999998</v>
      </c>
      <c r="H11" s="82">
        <v>-234.13399999999999</v>
      </c>
      <c r="I11" s="85"/>
    </row>
    <row r="12" spans="1:9">
      <c r="A12" s="139" t="str">
        <f>HLOOKUP(INDICE!$F$2,Nombres!$C$3:$E$853,44)</f>
        <v>Gross income</v>
      </c>
      <c r="B12" s="202">
        <v>1103.74957152</v>
      </c>
      <c r="C12" s="77">
        <v>1147.8993715300001</v>
      </c>
      <c r="D12" s="77">
        <v>1088.5547605499999</v>
      </c>
      <c r="E12" s="203">
        <v>1111.2412040999998</v>
      </c>
      <c r="F12" s="77">
        <v>1078.5097252999999</v>
      </c>
      <c r="G12" s="77">
        <v>1118.38672576</v>
      </c>
      <c r="H12" s="77">
        <v>579.62606388999995</v>
      </c>
      <c r="I12" s="85"/>
    </row>
    <row r="13" spans="1:9">
      <c r="A13" s="125" t="str">
        <f>HLOOKUP(INDICE!$F$2,Nombres!$C$3:$E$853,45)</f>
        <v>Operating expenses</v>
      </c>
      <c r="B13" s="204">
        <v>-530.88254858999994</v>
      </c>
      <c r="C13" s="82">
        <v>-509.62914558</v>
      </c>
      <c r="D13" s="82">
        <v>-472.50169016999996</v>
      </c>
      <c r="E13" s="205">
        <v>-494.79244979999999</v>
      </c>
      <c r="F13" s="82">
        <v>-483.60770046000005</v>
      </c>
      <c r="G13" s="82">
        <v>-461.52171619000001</v>
      </c>
      <c r="H13" s="82">
        <v>-304.15511261000006</v>
      </c>
      <c r="I13" s="85"/>
    </row>
    <row r="14" spans="1:9">
      <c r="A14" s="125" t="str">
        <f>HLOOKUP(INDICE!$F$2,Nombres!$C$3:$E$853,46)</f>
        <v xml:space="preserve">  Administration expenses</v>
      </c>
      <c r="B14" s="204">
        <v>-501.25555132</v>
      </c>
      <c r="C14" s="82">
        <v>-478.94078308000002</v>
      </c>
      <c r="D14" s="82">
        <v>-442.29568897999997</v>
      </c>
      <c r="E14" s="205">
        <v>-463.94592712999997</v>
      </c>
      <c r="F14" s="82">
        <v>-453.62970046000004</v>
      </c>
      <c r="G14" s="82">
        <v>-431.93971619000001</v>
      </c>
      <c r="H14" s="82">
        <v>-272.93211261000005</v>
      </c>
      <c r="I14" s="85"/>
    </row>
    <row r="15" spans="1:9">
      <c r="A15" s="141" t="str">
        <f>HLOOKUP(INDICE!$F$2,Nombres!$C$3:$E$853,47)</f>
        <v xml:space="preserve">  Personnel expenses</v>
      </c>
      <c r="B15" s="204">
        <v>-276.34648994000003</v>
      </c>
      <c r="C15" s="82">
        <v>-262.01200889000006</v>
      </c>
      <c r="D15" s="82">
        <v>-243.53837359999994</v>
      </c>
      <c r="E15" s="205">
        <v>-253.38641055000005</v>
      </c>
      <c r="F15" s="82">
        <v>-246.60487068</v>
      </c>
      <c r="G15" s="82">
        <v>-239.61804047999999</v>
      </c>
      <c r="H15" s="82">
        <v>-139.95405610000003</v>
      </c>
      <c r="I15" s="85"/>
    </row>
    <row r="16" spans="1:9">
      <c r="A16" s="141" t="str">
        <f>HLOOKUP(INDICE!$F$2,Nombres!$C$3:$E$853,48)</f>
        <v xml:space="preserve">  General and administrative expenses</v>
      </c>
      <c r="B16" s="204">
        <v>-224.90906138000003</v>
      </c>
      <c r="C16" s="82">
        <v>-216.92877419000001</v>
      </c>
      <c r="D16" s="82">
        <v>-198.75731538000002</v>
      </c>
      <c r="E16" s="205">
        <v>-210.55951657999992</v>
      </c>
      <c r="F16" s="82">
        <v>-207.02482978</v>
      </c>
      <c r="G16" s="82">
        <v>-192.32167570999997</v>
      </c>
      <c r="H16" s="82">
        <v>-132.97805650999999</v>
      </c>
      <c r="I16" s="85"/>
    </row>
    <row r="17" spans="1:9" ht="13.5" customHeight="1">
      <c r="A17" s="125" t="str">
        <f>HLOOKUP(INDICE!$F$2,Nombres!$C$3:$E$853,49)</f>
        <v xml:space="preserve">  Depreciation</v>
      </c>
      <c r="B17" s="204">
        <v>-29.626997270000004</v>
      </c>
      <c r="C17" s="82">
        <v>-30.688362499999997</v>
      </c>
      <c r="D17" s="82">
        <v>-30.206001189999999</v>
      </c>
      <c r="E17" s="205">
        <v>-30.846522669999999</v>
      </c>
      <c r="F17" s="82">
        <v>-29.978000000000002</v>
      </c>
      <c r="G17" s="82">
        <v>-29.582000000000001</v>
      </c>
      <c r="H17" s="82">
        <v>-31.222999999999995</v>
      </c>
      <c r="I17" s="85"/>
    </row>
    <row r="18" spans="1:9" ht="12.75" customHeight="1">
      <c r="A18" s="139" t="str">
        <f>HLOOKUP(INDICE!$F$2,Nombres!$C$3:$E$853,50)</f>
        <v>Operating income</v>
      </c>
      <c r="B18" s="202">
        <v>572.86702293000008</v>
      </c>
      <c r="C18" s="77">
        <v>638.27022594999994</v>
      </c>
      <c r="D18" s="77">
        <v>616.05307037999978</v>
      </c>
      <c r="E18" s="203">
        <v>616.44875430000002</v>
      </c>
      <c r="F18" s="77">
        <v>594.90202483999997</v>
      </c>
      <c r="G18" s="77">
        <v>656.86500956999998</v>
      </c>
      <c r="H18" s="77">
        <v>275.47095128000001</v>
      </c>
      <c r="I18" s="85"/>
    </row>
    <row r="19" spans="1:9" ht="13.5" customHeight="1">
      <c r="A19" s="125" t="str">
        <f>HLOOKUP(INDICE!$F$2,Nombres!$C$3:$E$853,51)</f>
        <v>Impaiment on financial assets not measured at fair value through profit or loss</v>
      </c>
      <c r="B19" s="204">
        <v>-185.66699870000002</v>
      </c>
      <c r="C19" s="82">
        <v>-189.54400371999998</v>
      </c>
      <c r="D19" s="82">
        <v>-179.68099731000001</v>
      </c>
      <c r="E19" s="205">
        <v>-95.291999689999955</v>
      </c>
      <c r="F19" s="82">
        <v>-166.81200000000001</v>
      </c>
      <c r="G19" s="82">
        <v>-158.81099999</v>
      </c>
      <c r="H19" s="82">
        <v>-176.727</v>
      </c>
      <c r="I19" s="85"/>
    </row>
    <row r="20" spans="1:9" ht="13.5" customHeight="1">
      <c r="A20" s="125" t="str">
        <f>HLOOKUP(INDICE!$F$2,Nombres!$C$3:$E$853,160)</f>
        <v>Provisions or reversal of provisions and other results</v>
      </c>
      <c r="B20" s="204">
        <v>-17.832001180000002</v>
      </c>
      <c r="C20" s="82">
        <v>-28.44999756</v>
      </c>
      <c r="D20" s="82">
        <v>-16.962999719999999</v>
      </c>
      <c r="E20" s="205">
        <v>-39.58199874000001</v>
      </c>
      <c r="F20" s="82">
        <v>-10.996</v>
      </c>
      <c r="G20" s="82">
        <v>-24.196711989999997</v>
      </c>
      <c r="H20" s="82">
        <v>-2.9150000299999954</v>
      </c>
      <c r="I20" s="85"/>
    </row>
    <row r="21" spans="1:9" ht="12.75" customHeight="1">
      <c r="A21" s="139" t="str">
        <f>HLOOKUP(INDICE!$F$2,Nombres!$C$3:$E$853,54)</f>
        <v>Profit/(loss) before tax</v>
      </c>
      <c r="B21" s="202">
        <v>369.36802305000003</v>
      </c>
      <c r="C21" s="77">
        <v>420.27622467000009</v>
      </c>
      <c r="D21" s="77">
        <v>419.4090733499998</v>
      </c>
      <c r="E21" s="203">
        <v>481.57475587000005</v>
      </c>
      <c r="F21" s="77">
        <v>417.09402483999986</v>
      </c>
      <c r="G21" s="77">
        <v>473.85729759000014</v>
      </c>
      <c r="H21" s="77">
        <v>95.82895124999996</v>
      </c>
      <c r="I21" s="85"/>
    </row>
    <row r="22" spans="1:9" ht="13.5" customHeight="1">
      <c r="A22" s="125" t="str">
        <f>HLOOKUP(INDICE!$F$2,Nombres!$C$3:$E$853,55)</f>
        <v>Income tax</v>
      </c>
      <c r="B22" s="204">
        <v>-109.67933127999999</v>
      </c>
      <c r="C22" s="82">
        <v>-119.85246047999999</v>
      </c>
      <c r="D22" s="82">
        <v>-117.36268899999999</v>
      </c>
      <c r="E22" s="205">
        <v>-138.67670489</v>
      </c>
      <c r="F22" s="82">
        <v>-127.82486750999999</v>
      </c>
      <c r="G22" s="82">
        <v>-124.67029491000001</v>
      </c>
      <c r="H22" s="82">
        <v>-86.074095439999994</v>
      </c>
      <c r="I22" s="85"/>
    </row>
    <row r="23" spans="1:9" ht="13.5" customHeight="1">
      <c r="A23" s="139" t="str">
        <f>HLOOKUP(INDICE!$F$2,Nombres!$C$3:$E$853,56)</f>
        <v>Profit/(loss) for the year</v>
      </c>
      <c r="B23" s="202">
        <v>259.68869176999999</v>
      </c>
      <c r="C23" s="77">
        <v>300.4237641900001</v>
      </c>
      <c r="D23" s="77">
        <v>302.04638434999981</v>
      </c>
      <c r="E23" s="203">
        <v>342.89805098000005</v>
      </c>
      <c r="F23" s="77">
        <v>289.26915732999987</v>
      </c>
      <c r="G23" s="77">
        <v>349.18700268000003</v>
      </c>
      <c r="H23" s="77">
        <v>9.7548558099999809</v>
      </c>
      <c r="I23" s="85"/>
    </row>
    <row r="24" spans="1:9" ht="12" customHeight="1">
      <c r="A24" s="125" t="str">
        <f>HLOOKUP(INDICE!$F$2,Nombres!$C$3:$E$853,57)</f>
        <v>Non-controlling interests</v>
      </c>
      <c r="B24" s="204">
        <v>-74.898176729999989</v>
      </c>
      <c r="C24" s="82">
        <v>-80.981627259999996</v>
      </c>
      <c r="D24" s="82">
        <v>-90.526671289999996</v>
      </c>
      <c r="E24" s="205">
        <v>-98.11929318</v>
      </c>
      <c r="F24" s="82">
        <v>-79.047433890000008</v>
      </c>
      <c r="G24" s="82">
        <v>-107.62915034000002</v>
      </c>
      <c r="H24" s="82">
        <v>5.5026956199999901</v>
      </c>
      <c r="I24" s="85"/>
    </row>
    <row r="25" spans="1:9" ht="14.25" customHeight="1">
      <c r="A25" s="206" t="str">
        <f>HLOOKUP(INDICE!$F$2,Nombres!$C$3:$E$853,58)</f>
        <v>Net attributable profit</v>
      </c>
      <c r="B25" s="207">
        <v>184.79051504</v>
      </c>
      <c r="C25" s="208">
        <v>219.44213693000009</v>
      </c>
      <c r="D25" s="208">
        <v>211.51971305999979</v>
      </c>
      <c r="E25" s="209">
        <v>244.77875780000005</v>
      </c>
      <c r="F25" s="208">
        <v>210.22172343999989</v>
      </c>
      <c r="G25" s="208">
        <v>241.55785234000007</v>
      </c>
      <c r="H25" s="208">
        <v>15.257551430000035</v>
      </c>
      <c r="I25" s="85"/>
    </row>
    <row r="26" spans="1:9" ht="14.25" customHeight="1">
      <c r="A26" s="239"/>
      <c r="B26" s="72"/>
      <c r="C26" s="72"/>
      <c r="D26" s="72"/>
      <c r="E26" s="72"/>
      <c r="F26" s="72"/>
      <c r="G26" s="72"/>
      <c r="H26" s="72"/>
      <c r="I26" s="85"/>
    </row>
    <row r="27" spans="1:9" ht="14.25" customHeight="1">
      <c r="A27" s="139"/>
      <c r="B27" s="77"/>
      <c r="C27" s="77"/>
      <c r="D27" s="77"/>
      <c r="E27" s="77"/>
      <c r="F27" s="77"/>
      <c r="G27" s="77"/>
      <c r="H27" s="77"/>
      <c r="I27" s="85"/>
    </row>
    <row r="28" spans="1:9" ht="18" customHeight="1">
      <c r="A28" s="65" t="str">
        <f>HLOOKUP(INDICE!$F$2,Nombres!$C$3:$E$853,94)</f>
        <v>Balance sheets</v>
      </c>
      <c r="B28" s="67"/>
      <c r="C28" s="67"/>
      <c r="D28" s="67"/>
      <c r="E28" s="67"/>
      <c r="F28" s="67"/>
      <c r="G28" s="67"/>
      <c r="H28" s="67"/>
      <c r="I28" s="85"/>
    </row>
    <row r="29" spans="1:9" ht="12.75" customHeight="1">
      <c r="A29" s="68" t="str">
        <f>HLOOKUP(INDICE!$F$2,Nombres!$C$3:$E$853,30)</f>
        <v>(Million euros)</v>
      </c>
      <c r="B29" s="72"/>
      <c r="C29" s="211"/>
      <c r="D29" s="211"/>
      <c r="E29" s="211"/>
      <c r="F29" s="84"/>
      <c r="G29" s="212"/>
      <c r="H29" s="212"/>
      <c r="I29" s="85"/>
    </row>
    <row r="30" spans="1:9" ht="15.75">
      <c r="A30" s="72"/>
      <c r="B30" s="59">
        <v>42825</v>
      </c>
      <c r="C30" s="59">
        <v>42916</v>
      </c>
      <c r="D30" s="59">
        <v>43008</v>
      </c>
      <c r="E30" s="59">
        <v>43100</v>
      </c>
      <c r="F30" s="59">
        <v>43190</v>
      </c>
      <c r="G30" s="59">
        <v>43281</v>
      </c>
      <c r="H30" s="59">
        <v>43373</v>
      </c>
      <c r="I30" s="85"/>
    </row>
    <row r="31" spans="1:9">
      <c r="A31" s="125" t="str">
        <f>HLOOKUP(INDICE!$F$2,Nombres!$C$3:$E$853,100)</f>
        <v>Cash, cash balances at central banks and other demand deposits</v>
      </c>
      <c r="B31" s="204">
        <v>8857</v>
      </c>
      <c r="C31" s="82">
        <v>8320</v>
      </c>
      <c r="D31" s="82">
        <v>6814</v>
      </c>
      <c r="E31" s="205">
        <v>9039</v>
      </c>
      <c r="F31" s="82">
        <v>7921</v>
      </c>
      <c r="G31" s="82">
        <v>7514.1080000000011</v>
      </c>
      <c r="H31" s="82">
        <v>7211.1440000000002</v>
      </c>
      <c r="I31" s="85"/>
    </row>
    <row r="32" spans="1:9">
      <c r="A32" s="125" t="str">
        <f>HLOOKUP(INDICE!$F$2,Nombres!$C$3:$E$853,101)</f>
        <v xml:space="preserve">Financial assets designated at fair value </v>
      </c>
      <c r="B32" s="204">
        <v>10923</v>
      </c>
      <c r="C32" s="82">
        <v>10917</v>
      </c>
      <c r="D32" s="82">
        <v>11068</v>
      </c>
      <c r="E32" s="205">
        <v>11627</v>
      </c>
      <c r="F32" s="82">
        <v>10176</v>
      </c>
      <c r="G32" s="82">
        <v>10097.913</v>
      </c>
      <c r="H32" s="82">
        <v>6582.869999999999</v>
      </c>
      <c r="I32" s="85"/>
    </row>
    <row r="33" spans="1:9">
      <c r="A33" s="125" t="str">
        <f>HLOOKUP(INDICE!$F$2,Nombres!$C$3:$E$853,406)</f>
        <v>Financial assets at amortized cost</v>
      </c>
      <c r="B33" s="204">
        <v>55762</v>
      </c>
      <c r="C33" s="82">
        <v>50533</v>
      </c>
      <c r="D33" s="82">
        <v>52144</v>
      </c>
      <c r="E33" s="205">
        <v>51207</v>
      </c>
      <c r="F33" s="82">
        <v>51934</v>
      </c>
      <c r="G33" s="82">
        <v>51383.014000000003</v>
      </c>
      <c r="H33" s="82">
        <v>36502.249999999993</v>
      </c>
      <c r="I33" s="85"/>
    </row>
    <row r="34" spans="1:9">
      <c r="A34" s="125" t="str">
        <f>HLOOKUP(INDICE!$F$2,Nombres!$C$3:$E$853,103)</f>
        <v xml:space="preserve">    of which loans and advances to customers</v>
      </c>
      <c r="B34" s="204">
        <v>48771</v>
      </c>
      <c r="C34" s="82">
        <v>45791</v>
      </c>
      <c r="D34" s="82">
        <v>46990</v>
      </c>
      <c r="E34" s="205">
        <v>48272</v>
      </c>
      <c r="F34" s="82">
        <v>48400</v>
      </c>
      <c r="G34" s="82">
        <v>48837.023999999998</v>
      </c>
      <c r="H34" s="82">
        <v>34794.927999999993</v>
      </c>
      <c r="I34" s="85"/>
    </row>
    <row r="35" spans="1:9">
      <c r="A35" s="125" t="str">
        <f>HLOOKUP(INDICE!$F$2,Nombres!$C$3:$E$853,106)</f>
        <v>Tangible assets</v>
      </c>
      <c r="B35" s="204">
        <v>815</v>
      </c>
      <c r="C35" s="82">
        <v>749</v>
      </c>
      <c r="D35" s="82">
        <v>726</v>
      </c>
      <c r="E35" s="205">
        <v>725</v>
      </c>
      <c r="F35" s="82">
        <v>688</v>
      </c>
      <c r="G35" s="82">
        <v>616.14699999999993</v>
      </c>
      <c r="H35" s="82">
        <v>722.81999999999994</v>
      </c>
      <c r="I35" s="85"/>
    </row>
    <row r="36" spans="1:9">
      <c r="A36" s="125" t="str">
        <f>HLOOKUP(INDICE!$F$2,Nombres!$C$3:$E$853,107)</f>
        <v>Other assets</v>
      </c>
      <c r="B36" s="204">
        <v>2656</v>
      </c>
      <c r="C36" s="82">
        <v>2804</v>
      </c>
      <c r="D36" s="82">
        <v>2731</v>
      </c>
      <c r="E36" s="205">
        <v>2038</v>
      </c>
      <c r="F36" s="82">
        <v>1251</v>
      </c>
      <c r="G36" s="82">
        <v>1070.5319999999997</v>
      </c>
      <c r="H36" s="82">
        <v>54.104566280009749</v>
      </c>
      <c r="I36" s="85"/>
    </row>
    <row r="37" spans="1:9">
      <c r="A37" s="206" t="str">
        <f>HLOOKUP(INDICE!$F$2,Nombres!$C$3:$E$853,108)</f>
        <v>Total assets / Liabilities and equity</v>
      </c>
      <c r="B37" s="207">
        <v>79013</v>
      </c>
      <c r="C37" s="208">
        <v>73323</v>
      </c>
      <c r="D37" s="208">
        <v>73483</v>
      </c>
      <c r="E37" s="209">
        <v>74636</v>
      </c>
      <c r="F37" s="208">
        <v>71969</v>
      </c>
      <c r="G37" s="208">
        <v>70681.714000000007</v>
      </c>
      <c r="H37" s="208">
        <v>51073.188566280005</v>
      </c>
      <c r="I37" s="85"/>
    </row>
    <row r="38" spans="1:9">
      <c r="A38" s="125" t="str">
        <f>HLOOKUP(INDICE!$F$2,Nombres!$C$3:$E$853,111)</f>
        <v>Financial liabilities held for trading and designated at fair value through profit or loss</v>
      </c>
      <c r="B38" s="204">
        <v>2590</v>
      </c>
      <c r="C38" s="82">
        <v>2372</v>
      </c>
      <c r="D38" s="82">
        <v>2476</v>
      </c>
      <c r="E38" s="205">
        <v>2823</v>
      </c>
      <c r="F38" s="82">
        <v>2575</v>
      </c>
      <c r="G38" s="82">
        <v>2656.9900000000002</v>
      </c>
      <c r="H38" s="82">
        <v>566.77899999999988</v>
      </c>
      <c r="I38" s="85"/>
    </row>
    <row r="39" spans="1:9">
      <c r="A39" s="125" t="str">
        <f>HLOOKUP(INDICE!$F$2,Nombres!$C$3:$E$853,109)</f>
        <v>Deposits from central banks and credit institutions</v>
      </c>
      <c r="B39" s="204">
        <v>5983</v>
      </c>
      <c r="C39" s="82">
        <v>6385</v>
      </c>
      <c r="D39" s="82">
        <v>7776</v>
      </c>
      <c r="E39" s="205">
        <v>7552</v>
      </c>
      <c r="F39" s="82">
        <v>5257</v>
      </c>
      <c r="G39" s="82">
        <v>5041.6769999999997</v>
      </c>
      <c r="H39" s="82">
        <v>2988.6760000000004</v>
      </c>
      <c r="I39" s="85"/>
    </row>
    <row r="40" spans="1:9">
      <c r="A40" s="125" t="str">
        <f>HLOOKUP(INDICE!$F$2,Nombres!$C$3:$E$853,110)</f>
        <v>Deposits from customers</v>
      </c>
      <c r="B40" s="204">
        <v>48919</v>
      </c>
      <c r="C40" s="82">
        <v>44713</v>
      </c>
      <c r="D40" s="82">
        <v>44374</v>
      </c>
      <c r="E40" s="205">
        <v>45666</v>
      </c>
      <c r="F40" s="82">
        <v>45230</v>
      </c>
      <c r="G40" s="82">
        <v>45614.87</v>
      </c>
      <c r="H40" s="82">
        <v>36404.815999999999</v>
      </c>
      <c r="I40" s="85"/>
    </row>
    <row r="41" spans="1:9" ht="13.5" customHeight="1">
      <c r="A41" s="125" t="str">
        <f>HLOOKUP(INDICE!$F$2,Nombres!$C$3:$E$853,112)</f>
        <v>Debt certificates</v>
      </c>
      <c r="B41" s="204">
        <v>7754</v>
      </c>
      <c r="C41" s="82">
        <v>7069</v>
      </c>
      <c r="D41" s="82">
        <v>7029</v>
      </c>
      <c r="E41" s="205">
        <v>7209</v>
      </c>
      <c r="F41" s="82">
        <v>7412</v>
      </c>
      <c r="G41" s="82">
        <v>6808.7830000000004</v>
      </c>
      <c r="H41" s="82">
        <v>3077.3810000000003</v>
      </c>
      <c r="I41" s="85"/>
    </row>
    <row r="42" spans="1:9">
      <c r="A42" s="125" t="str">
        <f>HLOOKUP(INDICE!$F$2,Nombres!$C$3:$E$853,115)</f>
        <v>Other liabilities</v>
      </c>
      <c r="B42" s="204">
        <v>10690</v>
      </c>
      <c r="C42" s="82">
        <v>9876</v>
      </c>
      <c r="D42" s="82">
        <v>9004</v>
      </c>
      <c r="E42" s="205">
        <v>8505</v>
      </c>
      <c r="F42" s="82">
        <v>8572</v>
      </c>
      <c r="G42" s="82">
        <v>7285.5270500000042</v>
      </c>
      <c r="H42" s="82">
        <v>5668.6224827100032</v>
      </c>
      <c r="I42" s="85"/>
    </row>
    <row r="43" spans="1:9" ht="12.75" customHeight="1">
      <c r="A43" s="125" t="str">
        <f>HLOOKUP(INDICE!$F$2,Nombres!$C$3:$E$853,116)</f>
        <v>Economic capital allocated</v>
      </c>
      <c r="B43" s="204">
        <v>3076</v>
      </c>
      <c r="C43" s="82">
        <v>2909</v>
      </c>
      <c r="D43" s="82">
        <v>2826</v>
      </c>
      <c r="E43" s="205">
        <v>2881</v>
      </c>
      <c r="F43" s="82">
        <v>2923</v>
      </c>
      <c r="G43" s="82">
        <v>3273.8669499999996</v>
      </c>
      <c r="H43" s="82">
        <v>2366.9140835700009</v>
      </c>
      <c r="I43" s="85"/>
    </row>
    <row r="44" spans="1:9" ht="12.75" customHeight="1">
      <c r="A44" s="239"/>
      <c r="B44" s="69"/>
      <c r="C44" s="82"/>
      <c r="D44" s="82"/>
      <c r="E44" s="82"/>
      <c r="F44" s="82"/>
      <c r="G44" s="82"/>
      <c r="H44" s="82"/>
      <c r="I44" s="85"/>
    </row>
    <row r="45" spans="1:9" ht="12.75" customHeight="1">
      <c r="A45" s="125"/>
      <c r="B45" s="69"/>
      <c r="C45" s="82"/>
      <c r="D45" s="82"/>
      <c r="E45" s="82"/>
      <c r="F45" s="82"/>
      <c r="G45" s="82"/>
      <c r="H45" s="82"/>
      <c r="I45" s="85"/>
    </row>
    <row r="46" spans="1:9" ht="15" customHeight="1">
      <c r="A46" s="65" t="str">
        <f>HLOOKUP(INDICE!$F$2,Nombres!$C$3:$E$853,117)</f>
        <v>Relevant business indicators</v>
      </c>
      <c r="B46" s="67"/>
      <c r="C46" s="67"/>
      <c r="D46" s="67"/>
      <c r="E46" s="67"/>
      <c r="F46" s="67"/>
      <c r="G46" s="67"/>
      <c r="H46" s="67"/>
      <c r="I46" s="85"/>
    </row>
    <row r="47" spans="1:9" ht="13.5" customHeight="1">
      <c r="A47" s="68" t="str">
        <f>HLOOKUP(INDICE!$F$2,Nombres!$C$3:$E$853,30)</f>
        <v>(Million euros)</v>
      </c>
      <c r="B47" s="72"/>
      <c r="C47" s="72"/>
      <c r="D47" s="72"/>
      <c r="E47" s="72"/>
      <c r="F47" s="84"/>
      <c r="G47" s="212"/>
      <c r="H47" s="212"/>
      <c r="I47" s="85"/>
    </row>
    <row r="48" spans="1:9" ht="15.75">
      <c r="A48" s="72"/>
      <c r="B48" s="59">
        <v>42825</v>
      </c>
      <c r="C48" s="59">
        <v>42916</v>
      </c>
      <c r="D48" s="59">
        <v>43008</v>
      </c>
      <c r="E48" s="59">
        <v>43100</v>
      </c>
      <c r="F48" s="59">
        <v>43190</v>
      </c>
      <c r="G48" s="59">
        <v>43281</v>
      </c>
      <c r="H48" s="59">
        <v>43373</v>
      </c>
      <c r="I48" s="85"/>
    </row>
    <row r="49" spans="1:9" ht="12" customHeight="1">
      <c r="A49" s="125" t="str">
        <f>HLOOKUP(INDICE!$F$2,Nombres!$C$3:$E$853,118)</f>
        <v>Loans and advances to customers (gross) (*)</v>
      </c>
      <c r="B49" s="214">
        <v>50477</v>
      </c>
      <c r="C49" s="69">
        <v>47434</v>
      </c>
      <c r="D49" s="69">
        <v>48608</v>
      </c>
      <c r="E49" s="69">
        <v>49845</v>
      </c>
      <c r="F49" s="214">
        <v>49546</v>
      </c>
      <c r="G49" s="69">
        <v>50701.535000000003</v>
      </c>
      <c r="H49" s="69">
        <v>36513.091999999997</v>
      </c>
      <c r="I49" s="85"/>
    </row>
    <row r="50" spans="1:9">
      <c r="A50" s="125" t="str">
        <f>HLOOKUP(INDICE!$F$2,Nombres!$C$3:$E$853,315)</f>
        <v>Customer deposits under management (*)</v>
      </c>
      <c r="B50" s="214">
        <v>49576.045695235254</v>
      </c>
      <c r="C50" s="69">
        <v>45026.265710124353</v>
      </c>
      <c r="D50" s="69">
        <v>44774.159346062552</v>
      </c>
      <c r="E50" s="69">
        <v>45970.271426995481</v>
      </c>
      <c r="F50" s="214">
        <v>45233.86699444001</v>
      </c>
      <c r="G50" s="69">
        <v>45344</v>
      </c>
      <c r="H50" s="69">
        <v>36433.333623639999</v>
      </c>
      <c r="I50" s="85"/>
    </row>
    <row r="51" spans="1:9">
      <c r="A51" s="125" t="str">
        <f>HLOOKUP(INDICE!$F$2,Nombres!$C$3:$E$853,122)</f>
        <v>Mutual funds</v>
      </c>
      <c r="B51" s="214">
        <v>5733.754714409999</v>
      </c>
      <c r="C51" s="69">
        <v>5473.1922441699999</v>
      </c>
      <c r="D51" s="69">
        <v>5427.6544334899991</v>
      </c>
      <c r="E51" s="69">
        <v>5247.7197652999994</v>
      </c>
      <c r="F51" s="214">
        <v>6142.3930211000006</v>
      </c>
      <c r="G51" s="69">
        <v>5563.5807427199998</v>
      </c>
      <c r="H51" s="82">
        <v>3890.9204994699994</v>
      </c>
      <c r="I51" s="85"/>
    </row>
    <row r="52" spans="1:9">
      <c r="A52" s="125" t="str">
        <f>HLOOKUP(INDICE!$F$2,Nombres!$C$3:$E$853,206)</f>
        <v>Pension funds</v>
      </c>
      <c r="B52" s="214">
        <v>7134.2251521799999</v>
      </c>
      <c r="C52" s="69">
        <v>6849.3696741399999</v>
      </c>
      <c r="D52" s="69">
        <v>6821.7077343600004</v>
      </c>
      <c r="E52" s="69">
        <v>6949.1639148599997</v>
      </c>
      <c r="F52" s="214">
        <v>6875.2403400900002</v>
      </c>
      <c r="G52" s="69">
        <v>7407.7751747900002</v>
      </c>
      <c r="H52" s="82">
        <v>7656.7610408600003</v>
      </c>
      <c r="I52" s="85"/>
    </row>
    <row r="53" spans="1:9">
      <c r="A53" s="125" t="str">
        <f>HLOOKUP(INDICE!$F$2,Nombres!$C$3:$E$853,308)</f>
        <v>Other off balance-sheet funds</v>
      </c>
      <c r="B53" s="213">
        <v>0</v>
      </c>
      <c r="C53" s="82">
        <v>0</v>
      </c>
      <c r="D53" s="82">
        <v>0</v>
      </c>
      <c r="E53" s="82">
        <v>0</v>
      </c>
      <c r="F53" s="213">
        <v>0</v>
      </c>
      <c r="G53" s="82" t="s">
        <v>744</v>
      </c>
      <c r="H53" s="82" t="s">
        <v>744</v>
      </c>
      <c r="I53" s="85"/>
    </row>
    <row r="54" spans="1:9">
      <c r="A54" s="240" t="str">
        <f>HLOOKUP(INDICE!$F$2,Nombres!$C$3:$E$853,312)</f>
        <v xml:space="preserve">(*) Excluding repos. </v>
      </c>
      <c r="B54" s="69"/>
      <c r="C54" s="69"/>
      <c r="D54" s="69"/>
      <c r="E54" s="69"/>
      <c r="F54" s="69"/>
      <c r="G54" s="69"/>
      <c r="H54" s="69"/>
      <c r="I54" s="85"/>
    </row>
    <row r="55" spans="1:9">
      <c r="A55" s="240" t="str">
        <f>HLOOKUP(INDICE!$F$2,Nombres!$C$3:$E$853,313)</f>
        <v xml:space="preserve"> </v>
      </c>
      <c r="B55" s="72"/>
      <c r="C55" s="72"/>
      <c r="D55" s="72"/>
      <c r="E55" s="72"/>
      <c r="F55" s="72"/>
      <c r="G55" s="72"/>
      <c r="H55" s="72"/>
      <c r="I55" s="85"/>
    </row>
    <row r="56" spans="1:9">
      <c r="A56" s="215"/>
      <c r="B56" s="72"/>
      <c r="C56" s="72"/>
      <c r="D56" s="72"/>
      <c r="E56" s="72"/>
      <c r="F56" s="72"/>
      <c r="G56" s="72"/>
      <c r="H56" s="72"/>
      <c r="I56" s="85"/>
    </row>
    <row r="57" spans="1:9" ht="18">
      <c r="A57" s="65" t="str">
        <f>HLOOKUP(INDICE!$F$2,Nombres!$C$3:$E$853,93)</f>
        <v xml:space="preserve">Income statement  </v>
      </c>
      <c r="B57" s="67"/>
      <c r="C57" s="67"/>
      <c r="D57" s="67"/>
      <c r="E57" s="67"/>
      <c r="F57" s="67"/>
      <c r="G57" s="67"/>
      <c r="H57" s="67"/>
      <c r="I57" s="85"/>
    </row>
    <row r="58" spans="1:9">
      <c r="A58" s="68" t="str">
        <f>HLOOKUP(INDICE!$F$2,Nombres!$C$3:$E$853,31)</f>
        <v xml:space="preserve">(Constant million euros)    </v>
      </c>
      <c r="B58" s="72"/>
      <c r="C58" s="200"/>
      <c r="D58" s="200"/>
      <c r="E58" s="200"/>
      <c r="F58" s="72"/>
      <c r="G58" s="212"/>
      <c r="H58" s="212"/>
      <c r="I58" s="85"/>
    </row>
    <row r="59" spans="1:9">
      <c r="A59" s="201"/>
      <c r="B59" s="72"/>
      <c r="C59" s="200"/>
      <c r="D59" s="200"/>
      <c r="E59" s="200"/>
      <c r="F59" s="72"/>
      <c r="G59" s="212"/>
      <c r="H59" s="212"/>
      <c r="I59" s="85"/>
    </row>
    <row r="60" spans="1:9" ht="15.75">
      <c r="A60" s="73"/>
      <c r="B60" s="315">
        <v>2017</v>
      </c>
      <c r="C60" s="316"/>
      <c r="D60" s="316"/>
      <c r="E60" s="323"/>
      <c r="F60" s="315">
        <v>2018</v>
      </c>
      <c r="G60" s="316"/>
      <c r="H60" s="316"/>
      <c r="I60" s="85"/>
    </row>
    <row r="61" spans="1:9" ht="15.75">
      <c r="A61" s="73"/>
      <c r="B61" s="93" t="str">
        <f>HLOOKUP(INDICE!$F$2,Nombres!$C$3:$E$857,34)</f>
        <v>1Q</v>
      </c>
      <c r="C61" s="93" t="str">
        <f>HLOOKUP(INDICE!$F$2,Nombres!$C$3:$E$857,35)</f>
        <v>2Q</v>
      </c>
      <c r="D61" s="93" t="str">
        <f>HLOOKUP(INDICE!$F$2,Nombres!$C$3:$E$857,36)</f>
        <v>3Q</v>
      </c>
      <c r="E61" s="93" t="str">
        <f>HLOOKUP(INDICE!$F$2,Nombres!$C$3:$E$857,37)</f>
        <v>4Q</v>
      </c>
      <c r="F61" s="93" t="str">
        <f>HLOOKUP(INDICE!$F$2,Nombres!$C$3:$E$857,34)</f>
        <v>1Q</v>
      </c>
      <c r="G61" s="93" t="str">
        <f>HLOOKUP(INDICE!$F$2,Nombres!$C$3:$E$857,35)</f>
        <v>2Q</v>
      </c>
      <c r="H61" s="93" t="str">
        <f>HLOOKUP(INDICE!$F$2,Nombres!$C$3:$E$857,36)</f>
        <v>3Q</v>
      </c>
      <c r="I61" s="85"/>
    </row>
    <row r="62" spans="1:9">
      <c r="A62" s="139" t="str">
        <f>HLOOKUP(INDICE!$F$2,Nombres!$C$3:$E$853,38)</f>
        <v>Net interest income</v>
      </c>
      <c r="B62" s="202">
        <v>638.16786994005565</v>
      </c>
      <c r="C62" s="77">
        <v>654.35009555728357</v>
      </c>
      <c r="D62" s="77">
        <v>674.02866933478663</v>
      </c>
      <c r="E62" s="203">
        <v>693.25631003453861</v>
      </c>
      <c r="F62" s="139">
        <v>712.01486546758554</v>
      </c>
      <c r="G62" s="139">
        <v>733.5660573586797</v>
      </c>
      <c r="H62" s="139">
        <v>780.77659234373482</v>
      </c>
      <c r="I62" s="85"/>
    </row>
    <row r="63" spans="1:9">
      <c r="A63" s="125" t="str">
        <f>HLOOKUP(INDICE!$F$2,Nombres!$C$3:$E$853,39)</f>
        <v>Net fees and commissions</v>
      </c>
      <c r="B63" s="204">
        <v>132.63615149847936</v>
      </c>
      <c r="C63" s="82">
        <v>133.61964036875659</v>
      </c>
      <c r="D63" s="82">
        <v>147.47388289466937</v>
      </c>
      <c r="E63" s="205">
        <v>151.70000917467658</v>
      </c>
      <c r="F63" s="216">
        <v>143.24906234676439</v>
      </c>
      <c r="G63" s="216">
        <v>152.58829113363572</v>
      </c>
      <c r="H63" s="216">
        <v>158.9226065995999</v>
      </c>
      <c r="I63" s="85"/>
    </row>
    <row r="64" spans="1:9">
      <c r="A64" s="125" t="str">
        <f>HLOOKUP(INDICE!$F$2,Nombres!$C$3:$E$853,40)</f>
        <v>Net trading income</v>
      </c>
      <c r="B64" s="204">
        <v>88.084095276958422</v>
      </c>
      <c r="C64" s="82">
        <v>105.51065830309017</v>
      </c>
      <c r="D64" s="82">
        <v>83.58146224704862</v>
      </c>
      <c r="E64" s="205">
        <v>105.08639141530151</v>
      </c>
      <c r="F64" s="216">
        <v>93.433917420151943</v>
      </c>
      <c r="G64" s="216">
        <v>102.78140653093483</v>
      </c>
      <c r="H64" s="216">
        <v>106.42071574891318</v>
      </c>
      <c r="I64" s="85"/>
    </row>
    <row r="65" spans="1:9" ht="17.25" customHeight="1">
      <c r="A65" s="125" t="str">
        <f>HLOOKUP(INDICE!$F$2,Nombres!$C$3:$E$853,95)</f>
        <v>Other operating income and expenses</v>
      </c>
      <c r="B65" s="204">
        <v>-6.7823589852765664</v>
      </c>
      <c r="C65" s="82">
        <v>12.73076240873614</v>
      </c>
      <c r="D65" s="82">
        <v>16.28009428608301</v>
      </c>
      <c r="E65" s="205">
        <v>-13.418838824764034</v>
      </c>
      <c r="F65" s="216">
        <v>4.89590510833776</v>
      </c>
      <c r="G65" s="216">
        <v>7.4198550706731252</v>
      </c>
      <c r="H65" s="216">
        <v>-219.5467601790109</v>
      </c>
      <c r="I65" s="85"/>
    </row>
    <row r="66" spans="1:9" ht="15.75" customHeight="1">
      <c r="A66" s="139" t="str">
        <f>HLOOKUP(INDICE!$F$2,Nombres!$C$3:$E$853,44)</f>
        <v>Gross income</v>
      </c>
      <c r="B66" s="202">
        <v>852.10575773021696</v>
      </c>
      <c r="C66" s="77">
        <v>906.21115663786645</v>
      </c>
      <c r="D66" s="77">
        <v>921.36410876258765</v>
      </c>
      <c r="E66" s="203">
        <v>936.62387179975281</v>
      </c>
      <c r="F66" s="139">
        <v>953.59375034283948</v>
      </c>
      <c r="G66" s="139">
        <v>996.35561009392336</v>
      </c>
      <c r="H66" s="139">
        <v>826.57315451323689</v>
      </c>
      <c r="I66" s="85"/>
    </row>
    <row r="67" spans="1:9">
      <c r="A67" s="125" t="str">
        <f>HLOOKUP(INDICE!$F$2,Nombres!$C$3:$E$853,45)</f>
        <v>Operating expenses</v>
      </c>
      <c r="B67" s="204">
        <v>-387.54345888974717</v>
      </c>
      <c r="C67" s="82">
        <v>-380.93393308336988</v>
      </c>
      <c r="D67" s="82">
        <v>-389.73482330416743</v>
      </c>
      <c r="E67" s="205">
        <v>-400.66097531515311</v>
      </c>
      <c r="F67" s="216">
        <v>-414.89910228984206</v>
      </c>
      <c r="G67" s="216">
        <v>-407.63242562812104</v>
      </c>
      <c r="H67" s="216">
        <v>-426.75300134203673</v>
      </c>
      <c r="I67" s="85"/>
    </row>
    <row r="68" spans="1:9">
      <c r="A68" s="125" t="str">
        <f>HLOOKUP(INDICE!$F$2,Nombres!$C$3:$E$853,46)</f>
        <v xml:space="preserve">  Administration expenses</v>
      </c>
      <c r="B68" s="204">
        <v>-363.94977462876057</v>
      </c>
      <c r="C68" s="82">
        <v>-356.44447609130646</v>
      </c>
      <c r="D68" s="82">
        <v>-363.99136612724431</v>
      </c>
      <c r="E68" s="205">
        <v>-374.44772460916062</v>
      </c>
      <c r="F68" s="216">
        <v>-388.15569781909954</v>
      </c>
      <c r="G68" s="216">
        <v>-380.7311999792181</v>
      </c>
      <c r="H68" s="216">
        <v>-389.61463146168228</v>
      </c>
      <c r="I68" s="85"/>
    </row>
    <row r="69" spans="1:9">
      <c r="A69" s="227" t="str">
        <f>HLOOKUP(INDICE!$F$2,Nombres!$C$3:$E$853,47)</f>
        <v xml:space="preserve">  Personnel expenses</v>
      </c>
      <c r="B69" s="204">
        <v>-199.74130672305495</v>
      </c>
      <c r="C69" s="82">
        <v>-194.34294140751831</v>
      </c>
      <c r="D69" s="82">
        <v>-199.00339116035377</v>
      </c>
      <c r="E69" s="205">
        <v>-200.36792830366062</v>
      </c>
      <c r="F69" s="216">
        <v>-209.30716498757167</v>
      </c>
      <c r="G69" s="216">
        <v>-211.63878933278059</v>
      </c>
      <c r="H69" s="216">
        <v>-205.23101293964771</v>
      </c>
      <c r="I69" s="85"/>
    </row>
    <row r="70" spans="1:9">
      <c r="A70" s="227" t="str">
        <f>HLOOKUP(INDICE!$F$2,Nombres!$C$3:$E$853,48)</f>
        <v xml:space="preserve">  General and administrative expenses</v>
      </c>
      <c r="B70" s="204">
        <v>-164.20846790570562</v>
      </c>
      <c r="C70" s="82">
        <v>-162.1015346837882</v>
      </c>
      <c r="D70" s="82">
        <v>-164.98797496689059</v>
      </c>
      <c r="E70" s="205">
        <v>-174.0797963055</v>
      </c>
      <c r="F70" s="216">
        <v>-178.8485328315279</v>
      </c>
      <c r="G70" s="216">
        <v>-169.09241064643757</v>
      </c>
      <c r="H70" s="216">
        <v>-184.38361852203454</v>
      </c>
      <c r="I70" s="85"/>
    </row>
    <row r="71" spans="1:9" ht="13.5" customHeight="1">
      <c r="A71" s="125" t="str">
        <f>HLOOKUP(INDICE!$F$2,Nombres!$C$3:$E$853,49)</f>
        <v xml:space="preserve">  Depreciation</v>
      </c>
      <c r="B71" s="204">
        <v>-23.593684260986564</v>
      </c>
      <c r="C71" s="82">
        <v>-24.489456992063374</v>
      </c>
      <c r="D71" s="82">
        <v>-25.743457176923137</v>
      </c>
      <c r="E71" s="205">
        <v>-26.213250705992412</v>
      </c>
      <c r="F71" s="216">
        <v>-26.743404470742568</v>
      </c>
      <c r="G71" s="216">
        <v>-26.90122564890293</v>
      </c>
      <c r="H71" s="216">
        <v>-37.138369880354496</v>
      </c>
      <c r="I71" s="85"/>
    </row>
    <row r="72" spans="1:9" ht="14.25" customHeight="1">
      <c r="A72" s="139" t="str">
        <f>HLOOKUP(INDICE!$F$2,Nombres!$C$3:$E$853,50)</f>
        <v>Operating income</v>
      </c>
      <c r="B72" s="202">
        <v>464.56229884046979</v>
      </c>
      <c r="C72" s="77">
        <v>525.27722355449669</v>
      </c>
      <c r="D72" s="77">
        <v>531.62928545842021</v>
      </c>
      <c r="E72" s="203">
        <v>535.9628964845997</v>
      </c>
      <c r="F72" s="139">
        <v>538.69464805299742</v>
      </c>
      <c r="G72" s="139">
        <v>588.72318446580243</v>
      </c>
      <c r="H72" s="139">
        <v>399.82015317120016</v>
      </c>
      <c r="I72" s="85"/>
    </row>
    <row r="73" spans="1:9">
      <c r="A73" s="125" t="str">
        <f>HLOOKUP(INDICE!$F$2,Nombres!$C$3:$E$853,51)</f>
        <v>Impaiment on financial assets not measured at fair value through profit or loss</v>
      </c>
      <c r="B73" s="204">
        <v>-159.58961948326615</v>
      </c>
      <c r="C73" s="82">
        <v>-172.06766426789176</v>
      </c>
      <c r="D73" s="82">
        <v>-172.83073437861881</v>
      </c>
      <c r="E73" s="205">
        <v>-104.93089064608063</v>
      </c>
      <c r="F73" s="216">
        <v>-161.36534348063739</v>
      </c>
      <c r="G73" s="216">
        <v>-148.43550727441163</v>
      </c>
      <c r="H73" s="216">
        <v>-192.54914923495102</v>
      </c>
      <c r="I73" s="85"/>
    </row>
    <row r="74" spans="1:9" ht="16.5" customHeight="1">
      <c r="A74" s="125" t="str">
        <f>HLOOKUP(INDICE!$F$2,Nombres!$C$3:$E$853,160)</f>
        <v>Provisions or reversal of provisions and other results</v>
      </c>
      <c r="B74" s="204">
        <v>-14.65801056724656</v>
      </c>
      <c r="C74" s="82">
        <v>-22.299832491354948</v>
      </c>
      <c r="D74" s="82">
        <v>-10.954947377796058</v>
      </c>
      <c r="E74" s="205">
        <v>-28.72848838995607</v>
      </c>
      <c r="F74" s="216">
        <v>-7.221032746860347</v>
      </c>
      <c r="G74" s="216">
        <v>-21.081879434043596</v>
      </c>
      <c r="H74" s="216">
        <v>-9.8047998390960487</v>
      </c>
      <c r="I74" s="85"/>
    </row>
    <row r="75" spans="1:9" ht="12.75" customHeight="1">
      <c r="A75" s="139" t="str">
        <f>HLOOKUP(INDICE!$F$2,Nombres!$C$3:$E$853,54)</f>
        <v>Profit/(loss) before tax</v>
      </c>
      <c r="B75" s="202">
        <v>290.31466878995712</v>
      </c>
      <c r="C75" s="77">
        <v>330.90972679524987</v>
      </c>
      <c r="D75" s="77">
        <v>347.84360370200528</v>
      </c>
      <c r="E75" s="203">
        <v>402.30351744856307</v>
      </c>
      <c r="F75" s="139">
        <v>370.1082718254998</v>
      </c>
      <c r="G75" s="139">
        <v>419.20579775734706</v>
      </c>
      <c r="H75" s="139">
        <v>197.46620409715302</v>
      </c>
      <c r="I75" s="85"/>
    </row>
    <row r="76" spans="1:9" ht="13.5" customHeight="1">
      <c r="A76" s="125" t="str">
        <f>HLOOKUP(INDICE!$F$2,Nombres!$C$3:$E$853,55)</f>
        <v>Income tax</v>
      </c>
      <c r="B76" s="204">
        <v>-84.608924843434977</v>
      </c>
      <c r="C76" s="82">
        <v>-94.127806743018908</v>
      </c>
      <c r="D76" s="82">
        <v>-93.403983799374316</v>
      </c>
      <c r="E76" s="205">
        <v>-108.26593610939673</v>
      </c>
      <c r="F76" s="216">
        <v>-114.09742768847262</v>
      </c>
      <c r="G76" s="216">
        <v>-107.93993283466546</v>
      </c>
      <c r="H76" s="216">
        <v>-116.53189733686192</v>
      </c>
      <c r="I76" s="85"/>
    </row>
    <row r="77" spans="1:9" ht="12.75" customHeight="1">
      <c r="A77" s="139" t="str">
        <f>HLOOKUP(INDICE!$F$2,Nombres!$C$3:$E$853,56)</f>
        <v>Profit/(loss) for the year</v>
      </c>
      <c r="B77" s="202">
        <v>205.70574394652215</v>
      </c>
      <c r="C77" s="77">
        <v>236.78192005223099</v>
      </c>
      <c r="D77" s="77">
        <v>254.43961990263097</v>
      </c>
      <c r="E77" s="203">
        <v>294.03758133916631</v>
      </c>
      <c r="F77" s="139">
        <v>256.01084413702711</v>
      </c>
      <c r="G77" s="139">
        <v>311.26586492268154</v>
      </c>
      <c r="H77" s="139">
        <v>80.934306760291165</v>
      </c>
      <c r="I77" s="85"/>
    </row>
    <row r="78" spans="1:9" ht="12.75" customHeight="1">
      <c r="A78" s="125" t="str">
        <f>HLOOKUP(INDICE!$F$2,Nombres!$C$3:$E$853,57)</f>
        <v>Non-controlling interests</v>
      </c>
      <c r="B78" s="204">
        <v>-61.213930005023187</v>
      </c>
      <c r="C78" s="82">
        <v>-65.694584171362692</v>
      </c>
      <c r="D78" s="82">
        <v>-75.534913446042594</v>
      </c>
      <c r="E78" s="205">
        <v>-82.415786540994986</v>
      </c>
      <c r="F78" s="216">
        <v>-68.906425222925293</v>
      </c>
      <c r="G78" s="216">
        <v>-95.687937274418289</v>
      </c>
      <c r="H78" s="216">
        <v>-16.57952611265646</v>
      </c>
      <c r="I78" s="85"/>
    </row>
    <row r="79" spans="1:9" ht="15" customHeight="1">
      <c r="A79" s="206" t="str">
        <f>HLOOKUP(INDICE!$F$2,Nombres!$C$3:$E$853,58)</f>
        <v>Net attributable profit</v>
      </c>
      <c r="B79" s="207">
        <v>144.49181394149895</v>
      </c>
      <c r="C79" s="208">
        <v>171.08733588086832</v>
      </c>
      <c r="D79" s="208">
        <v>178.90470645658837</v>
      </c>
      <c r="E79" s="209">
        <v>211.62179479817138</v>
      </c>
      <c r="F79" s="206">
        <v>187.10441891410187</v>
      </c>
      <c r="G79" s="206">
        <v>215.57792764826331</v>
      </c>
      <c r="H79" s="206">
        <v>64.354780647634712</v>
      </c>
      <c r="I79" s="85"/>
    </row>
    <row r="80" spans="1:9" s="86" customFormat="1" ht="15" customHeight="1">
      <c r="A80" s="239"/>
      <c r="B80" s="77"/>
      <c r="C80" s="77"/>
      <c r="D80" s="77"/>
      <c r="E80" s="77"/>
      <c r="F80" s="139"/>
      <c r="G80" s="139"/>
      <c r="H80" s="139"/>
      <c r="I80" s="85"/>
    </row>
    <row r="81" spans="1:9" s="86" customFormat="1" ht="15" customHeight="1">
      <c r="A81" s="139"/>
      <c r="B81" s="77"/>
      <c r="C81" s="77"/>
      <c r="D81" s="77"/>
      <c r="E81" s="77"/>
      <c r="F81" s="139"/>
      <c r="G81" s="139"/>
      <c r="H81" s="139"/>
      <c r="I81" s="85"/>
    </row>
    <row r="82" spans="1:9" ht="17.25" customHeight="1">
      <c r="A82" s="65" t="str">
        <f>HLOOKUP(INDICE!$F$2,Nombres!$C$3:$E$853,94)</f>
        <v>Balance sheets</v>
      </c>
      <c r="B82" s="67"/>
      <c r="C82" s="67"/>
      <c r="D82" s="67"/>
      <c r="E82" s="67"/>
      <c r="F82" s="67"/>
      <c r="G82" s="210"/>
      <c r="H82" s="210"/>
      <c r="I82" s="85"/>
    </row>
    <row r="83" spans="1:9">
      <c r="A83" s="68" t="str">
        <f>HLOOKUP(INDICE!$F$2,Nombres!$C$3:$E$853,31)</f>
        <v xml:space="preserve">(Constant million euros)    </v>
      </c>
      <c r="B83" s="72"/>
      <c r="C83" s="211"/>
      <c r="D83" s="211"/>
      <c r="E83" s="211"/>
      <c r="F83" s="72"/>
      <c r="G83" s="212"/>
      <c r="H83" s="212"/>
      <c r="I83" s="85"/>
    </row>
    <row r="84" spans="1:9" ht="15.75">
      <c r="A84" s="72"/>
      <c r="B84" s="59">
        <v>42825</v>
      </c>
      <c r="C84" s="59">
        <v>42916</v>
      </c>
      <c r="D84" s="59">
        <v>43008</v>
      </c>
      <c r="E84" s="59">
        <v>43100</v>
      </c>
      <c r="F84" s="59">
        <v>43190</v>
      </c>
      <c r="G84" s="59">
        <v>43281</v>
      </c>
      <c r="H84" s="59">
        <v>43373</v>
      </c>
      <c r="I84" s="85"/>
    </row>
    <row r="85" spans="1:9">
      <c r="A85" s="125" t="str">
        <f>HLOOKUP(INDICE!$F$2,Nombres!$C$3:$E$853,100)</f>
        <v>Cash, cash balances at central banks and other demand deposits</v>
      </c>
      <c r="B85" s="204">
        <v>6651.5187069037765</v>
      </c>
      <c r="C85" s="82">
        <v>6948.6424097273193</v>
      </c>
      <c r="D85" s="82">
        <v>6050.6510767463533</v>
      </c>
      <c r="E85" s="205">
        <v>8197.903687962902</v>
      </c>
      <c r="F85" s="204">
        <v>7290.1039181177039</v>
      </c>
      <c r="G85" s="82">
        <v>6979.8371129269799</v>
      </c>
      <c r="H85" s="82">
        <v>7211.1440000000002</v>
      </c>
      <c r="I85" s="85"/>
    </row>
    <row r="86" spans="1:9">
      <c r="A86" s="125" t="str">
        <f>HLOOKUP(INDICE!$F$2,Nombres!$C$3:$E$853,101)</f>
        <v xml:space="preserve">Financial assets designated at fair value </v>
      </c>
      <c r="B86" s="204">
        <v>9472.8452976092412</v>
      </c>
      <c r="C86" s="82">
        <v>10025.18667164147</v>
      </c>
      <c r="D86" s="82">
        <v>10358.517142591452</v>
      </c>
      <c r="E86" s="205">
        <v>10998.104137157512</v>
      </c>
      <c r="F86" s="204">
        <v>9715.0316787363699</v>
      </c>
      <c r="G86" s="82">
        <v>9767.7230031884083</v>
      </c>
      <c r="H86" s="82">
        <v>6582.869999999999</v>
      </c>
      <c r="I86" s="85"/>
    </row>
    <row r="87" spans="1:9">
      <c r="A87" s="125" t="str">
        <f>HLOOKUP(INDICE!$F$2,Nombres!$C$3:$E$853,406)</f>
        <v>Financial assets at amortized cost</v>
      </c>
      <c r="B87" s="204">
        <v>47360.81422240143</v>
      </c>
      <c r="C87" s="82">
        <v>46650.927610126702</v>
      </c>
      <c r="D87" s="82">
        <v>48735.46786610577</v>
      </c>
      <c r="E87" s="205">
        <v>48051.943475096676</v>
      </c>
      <c r="F87" s="204">
        <v>49129.149698931949</v>
      </c>
      <c r="G87" s="82">
        <v>49453.907677331772</v>
      </c>
      <c r="H87" s="82">
        <v>36502.249999999993</v>
      </c>
      <c r="I87" s="85"/>
    </row>
    <row r="88" spans="1:9">
      <c r="A88" s="125" t="str">
        <f>HLOOKUP(INDICE!$F$2,Nombres!$C$3:$E$853,103)</f>
        <v xml:space="preserve">    of which loans and advances to customers</v>
      </c>
      <c r="B88" s="204">
        <v>41658.060251513118</v>
      </c>
      <c r="C88" s="82">
        <v>42323.442685529786</v>
      </c>
      <c r="D88" s="82">
        <v>43909.554936589513</v>
      </c>
      <c r="E88" s="205">
        <v>45357.837301817141</v>
      </c>
      <c r="F88" s="204">
        <v>45750.696676201667</v>
      </c>
      <c r="G88" s="82">
        <v>47021.759915360599</v>
      </c>
      <c r="H88" s="82">
        <v>34794.927999999993</v>
      </c>
      <c r="I88" s="85"/>
    </row>
    <row r="89" spans="1:9">
      <c r="A89" s="125" t="str">
        <f>HLOOKUP(INDICE!$F$2,Nombres!$C$3:$E$853,106)</f>
        <v>Tangible assets</v>
      </c>
      <c r="B89" s="204">
        <v>604.4594338405451</v>
      </c>
      <c r="C89" s="82">
        <v>602.38481712246823</v>
      </c>
      <c r="D89" s="82">
        <v>603.98346645231334</v>
      </c>
      <c r="E89" s="205">
        <v>616.4864007737483</v>
      </c>
      <c r="F89" s="204">
        <v>602.60327080214881</v>
      </c>
      <c r="G89" s="82">
        <v>567.98337011509966</v>
      </c>
      <c r="H89" s="82">
        <v>722.81999999999994</v>
      </c>
      <c r="I89" s="85"/>
    </row>
    <row r="90" spans="1:9">
      <c r="A90" s="125" t="str">
        <f>HLOOKUP(INDICE!$F$2,Nombres!$C$3:$E$853,107)</f>
        <v>Other assets</v>
      </c>
      <c r="B90" s="204">
        <v>2322.3572052949717</v>
      </c>
      <c r="C90" s="82">
        <v>2643.9157387220271</v>
      </c>
      <c r="D90" s="82">
        <v>2612.0352669447566</v>
      </c>
      <c r="E90" s="205">
        <v>1927.8283655342964</v>
      </c>
      <c r="F90" s="204">
        <v>1127.0623698324839</v>
      </c>
      <c r="G90" s="82">
        <v>996.71112888619666</v>
      </c>
      <c r="H90" s="82">
        <v>54.104566280009749</v>
      </c>
      <c r="I90" s="85"/>
    </row>
    <row r="91" spans="1:9">
      <c r="A91" s="206" t="str">
        <f>HLOOKUP(INDICE!$F$2,Nombres!$C$3:$E$853,108)</f>
        <v>Total assets / Liabilities and equity</v>
      </c>
      <c r="B91" s="207">
        <v>66411.994866049965</v>
      </c>
      <c r="C91" s="207">
        <v>66871.057247339995</v>
      </c>
      <c r="D91" s="207">
        <v>68360.654818840645</v>
      </c>
      <c r="E91" s="207">
        <v>69792.266066525131</v>
      </c>
      <c r="F91" s="207">
        <v>67863.950936420646</v>
      </c>
      <c r="G91" s="208">
        <v>67766.162292448425</v>
      </c>
      <c r="H91" s="208">
        <v>51073.188566280005</v>
      </c>
      <c r="I91" s="85"/>
    </row>
    <row r="92" spans="1:9">
      <c r="A92" s="125" t="str">
        <f>HLOOKUP(INDICE!$F$2,Nombres!$C$3:$E$853,111)</f>
        <v>Financial liabilities held for trading and designated at fair value through profit or loss</v>
      </c>
      <c r="B92" s="204">
        <v>2372.239342945491</v>
      </c>
      <c r="C92" s="82">
        <v>2333.8111716114631</v>
      </c>
      <c r="D92" s="82">
        <v>2429.1228595231514</v>
      </c>
      <c r="E92" s="205">
        <v>2742.7213323698138</v>
      </c>
      <c r="F92" s="204">
        <v>2507.6536844048319</v>
      </c>
      <c r="G92" s="82">
        <v>2603.4479760820195</v>
      </c>
      <c r="H92" s="82">
        <v>566.77899999999988</v>
      </c>
      <c r="I92" s="85"/>
    </row>
    <row r="93" spans="1:9">
      <c r="A93" s="125" t="str">
        <f>HLOOKUP(INDICE!$F$2,Nombres!$C$3:$E$853,109)</f>
        <v>Deposits from central banks and credit institutions</v>
      </c>
      <c r="B93" s="204">
        <v>5438.8224252516211</v>
      </c>
      <c r="C93" s="82">
        <v>6250.952695726919</v>
      </c>
      <c r="D93" s="82">
        <v>7707.0855753018586</v>
      </c>
      <c r="E93" s="205">
        <v>7490.1362581577923</v>
      </c>
      <c r="F93" s="204">
        <v>5260.0148130994021</v>
      </c>
      <c r="G93" s="82">
        <v>4937.7165371362898</v>
      </c>
      <c r="H93" s="82">
        <v>2988.6760000000004</v>
      </c>
      <c r="I93" s="85"/>
    </row>
    <row r="94" spans="1:9">
      <c r="A94" s="125" t="str">
        <f>HLOOKUP(INDICE!$F$2,Nombres!$C$3:$E$853,110)</f>
        <v>Deposits from customers</v>
      </c>
      <c r="B94" s="204">
        <v>40092.008277130924</v>
      </c>
      <c r="C94" s="82">
        <v>39917.922432164334</v>
      </c>
      <c r="D94" s="82">
        <v>40763.28624645753</v>
      </c>
      <c r="E94" s="205">
        <v>42353.579689281374</v>
      </c>
      <c r="F94" s="204">
        <v>42323.762154027208</v>
      </c>
      <c r="G94" s="82">
        <v>43566.978353333579</v>
      </c>
      <c r="H94" s="82">
        <v>36404.815999999999</v>
      </c>
      <c r="I94" s="85"/>
    </row>
    <row r="95" spans="1:9">
      <c r="A95" s="125" t="str">
        <f>HLOOKUP(INDICE!$F$2,Nombres!$C$3:$E$853,112)</f>
        <v>Debt certificates</v>
      </c>
      <c r="B95" s="204">
        <v>7060.9331988191643</v>
      </c>
      <c r="C95" s="82">
        <v>6922.1462511911304</v>
      </c>
      <c r="D95" s="82">
        <v>6939.6888300610226</v>
      </c>
      <c r="E95" s="205">
        <v>7051.8316900049058</v>
      </c>
      <c r="F95" s="204">
        <v>7320.3728712391858</v>
      </c>
      <c r="G95" s="82">
        <v>6726.8441492444272</v>
      </c>
      <c r="H95" s="82">
        <v>3077.3810000000003</v>
      </c>
      <c r="I95" s="85"/>
    </row>
    <row r="96" spans="1:9">
      <c r="A96" s="125" t="str">
        <f>HLOOKUP(INDICE!$F$2,Nombres!$C$3:$E$853,115)</f>
        <v>Other liabilities</v>
      </c>
      <c r="B96" s="204">
        <v>8953.169156219552</v>
      </c>
      <c r="C96" s="82">
        <v>8868.2760408139311</v>
      </c>
      <c r="D96" s="82">
        <v>7972.600876614315</v>
      </c>
      <c r="E96" s="205">
        <v>7525.8890124132604</v>
      </c>
      <c r="F96" s="204">
        <v>7777.1601737775418</v>
      </c>
      <c r="G96" s="82">
        <v>6829.7275671573516</v>
      </c>
      <c r="H96" s="82">
        <v>5668.6224827100032</v>
      </c>
      <c r="I96" s="85"/>
    </row>
    <row r="97" spans="1:9" ht="12" customHeight="1">
      <c r="A97" s="125" t="str">
        <f>HLOOKUP(INDICE!$F$2,Nombres!$C$3:$E$853,116)</f>
        <v>Economic capital allocated</v>
      </c>
      <c r="B97" s="204">
        <v>2494.8224656832181</v>
      </c>
      <c r="C97" s="82">
        <v>2577.9486558322042</v>
      </c>
      <c r="D97" s="82">
        <v>2548.8704308827605</v>
      </c>
      <c r="E97" s="205">
        <v>2628.1080842980023</v>
      </c>
      <c r="F97" s="228">
        <v>2674.9872398725029</v>
      </c>
      <c r="G97" s="82">
        <v>3101.4477094947629</v>
      </c>
      <c r="H97" s="82">
        <v>2366.9140835700009</v>
      </c>
      <c r="I97" s="85"/>
    </row>
    <row r="98" spans="1:9" ht="12" customHeight="1">
      <c r="A98" s="239"/>
      <c r="B98" s="69"/>
      <c r="C98" s="82"/>
      <c r="D98" s="82"/>
      <c r="E98" s="82"/>
      <c r="F98" s="82"/>
      <c r="G98" s="82"/>
      <c r="H98" s="82"/>
      <c r="I98" s="85"/>
    </row>
    <row r="99" spans="1:9" ht="12" customHeight="1">
      <c r="A99" s="125"/>
      <c r="B99" s="69"/>
      <c r="C99" s="82"/>
      <c r="D99" s="82"/>
      <c r="E99" s="82"/>
      <c r="F99" s="82"/>
      <c r="G99" s="82"/>
      <c r="H99" s="82"/>
      <c r="I99" s="85"/>
    </row>
    <row r="100" spans="1:9" ht="18">
      <c r="A100" s="65" t="str">
        <f>HLOOKUP(INDICE!$F$2,Nombres!$C$3:$E$853,117)</f>
        <v>Relevant business indicators</v>
      </c>
      <c r="B100" s="67"/>
      <c r="C100" s="67"/>
      <c r="D100" s="67"/>
      <c r="E100" s="67"/>
      <c r="F100" s="67"/>
      <c r="G100" s="210"/>
      <c r="H100" s="210"/>
      <c r="I100" s="85"/>
    </row>
    <row r="101" spans="1:9" ht="12" customHeight="1">
      <c r="A101" s="68" t="str">
        <f>HLOOKUP(INDICE!$F$2,Nombres!$C$3:$E$853,31)</f>
        <v xml:space="preserve">(Constant million euros)    </v>
      </c>
      <c r="B101" s="72"/>
      <c r="C101" s="72"/>
      <c r="D101" s="72"/>
      <c r="E101" s="72"/>
      <c r="F101" s="72"/>
      <c r="G101" s="72"/>
      <c r="H101" s="72"/>
      <c r="I101" s="85"/>
    </row>
    <row r="102" spans="1:9" ht="15.75">
      <c r="A102" s="72"/>
      <c r="B102" s="59">
        <v>42825</v>
      </c>
      <c r="C102" s="59">
        <v>42916</v>
      </c>
      <c r="D102" s="59">
        <v>43008</v>
      </c>
      <c r="E102" s="59">
        <v>43100</v>
      </c>
      <c r="F102" s="59">
        <v>43190</v>
      </c>
      <c r="G102" s="59">
        <v>43281</v>
      </c>
      <c r="H102" s="59">
        <v>43373</v>
      </c>
      <c r="I102" s="85"/>
    </row>
    <row r="103" spans="1:9">
      <c r="A103" s="125" t="str">
        <f>HLOOKUP(INDICE!$F$2,Nombres!$C$3:$E$853,118)</f>
        <v>Loans and advances to customers (gross) (*)</v>
      </c>
      <c r="B103" s="204">
        <v>42806.02066717924</v>
      </c>
      <c r="C103" s="82">
        <v>43666.554539827237</v>
      </c>
      <c r="D103" s="82">
        <v>45314.856906585832</v>
      </c>
      <c r="E103" s="205">
        <v>46710.121363655577</v>
      </c>
      <c r="F103" s="214">
        <v>46963.502836799707</v>
      </c>
      <c r="G103" s="69">
        <v>48850.68283558335</v>
      </c>
      <c r="H103" s="69">
        <f>+H49</f>
        <v>36513.091999999997</v>
      </c>
      <c r="I103" s="85"/>
    </row>
    <row r="104" spans="1:9">
      <c r="A104" s="125" t="str">
        <f>HLOOKUP(INDICE!$F$2,Nombres!$C$3:$E$853,315)</f>
        <v>Customer deposits under management (*)</v>
      </c>
      <c r="B104" s="204">
        <v>40719.021588415679</v>
      </c>
      <c r="C104" s="82">
        <v>40261.806300022698</v>
      </c>
      <c r="D104" s="82">
        <v>41174.318850890959</v>
      </c>
      <c r="E104" s="205">
        <v>42664.542850914506</v>
      </c>
      <c r="F104" s="214">
        <v>42311.540879004606</v>
      </c>
      <c r="G104" s="69">
        <v>43298.095648899514</v>
      </c>
      <c r="H104" s="69">
        <f t="shared" ref="H104:H107" si="0">+H50</f>
        <v>36433.333623639999</v>
      </c>
      <c r="I104" s="85"/>
    </row>
    <row r="105" spans="1:9">
      <c r="A105" s="125" t="str">
        <f>HLOOKUP(INDICE!$F$2,Nombres!$C$3:$E$853,122)</f>
        <v>Mutual funds</v>
      </c>
      <c r="B105" s="204">
        <v>4414.8259383581826</v>
      </c>
      <c r="C105" s="82">
        <v>4592.0437068336041</v>
      </c>
      <c r="D105" s="82">
        <v>4719.834026654984</v>
      </c>
      <c r="E105" s="205">
        <v>4634.0940234642494</v>
      </c>
      <c r="F105" s="214">
        <v>5352.0106889688104</v>
      </c>
      <c r="G105" s="69">
        <v>5187.1911902698648</v>
      </c>
      <c r="H105" s="69">
        <f t="shared" si="0"/>
        <v>3890.9204994699994</v>
      </c>
      <c r="I105" s="85"/>
    </row>
    <row r="106" spans="1:9">
      <c r="A106" s="125" t="str">
        <f>HLOOKUP(INDICE!$F$2,Nombres!$C$3:$E$853,206)</f>
        <v>Pension funds</v>
      </c>
      <c r="B106" s="204">
        <v>6588.7913876642424</v>
      </c>
      <c r="C106" s="82">
        <v>6752.3101111299557</v>
      </c>
      <c r="D106" s="82">
        <v>6957.2180813429222</v>
      </c>
      <c r="E106" s="205">
        <v>7199.4441556341962</v>
      </c>
      <c r="F106" s="214">
        <v>7317.7034048184105</v>
      </c>
      <c r="G106" s="69">
        <v>7460.2292121251839</v>
      </c>
      <c r="H106" s="69">
        <f t="shared" si="0"/>
        <v>7656.7610408600003</v>
      </c>
      <c r="I106" s="85"/>
    </row>
    <row r="107" spans="1:9">
      <c r="A107" s="125" t="str">
        <f>HLOOKUP(INDICE!$F$2,Nombres!$C$3:$E$853,308)</f>
        <v>Other off balance-sheet funds</v>
      </c>
      <c r="B107" s="204">
        <v>0</v>
      </c>
      <c r="C107" s="82">
        <v>0</v>
      </c>
      <c r="D107" s="82">
        <v>0</v>
      </c>
      <c r="E107" s="205">
        <v>0</v>
      </c>
      <c r="F107" s="214">
        <v>0</v>
      </c>
      <c r="G107" s="82" t="s">
        <v>744</v>
      </c>
      <c r="H107" s="82" t="str">
        <f t="shared" si="0"/>
        <v>0</v>
      </c>
      <c r="I107" s="85"/>
    </row>
    <row r="108" spans="1:9">
      <c r="A108" s="215" t="str">
        <f>HLOOKUP(INDICE!$F$2,Nombres!$C$3:$E$853,312)</f>
        <v xml:space="preserve">(*) Excluding repos. </v>
      </c>
      <c r="B108" s="212"/>
      <c r="C108" s="216"/>
      <c r="D108" s="216"/>
      <c r="E108" s="216"/>
      <c r="F108" s="216"/>
      <c r="G108" s="72"/>
      <c r="H108" s="72"/>
      <c r="I108" s="85"/>
    </row>
    <row r="109" spans="1:9">
      <c r="A109" s="215" t="str">
        <f>HLOOKUP(INDICE!$F$2,Nombres!$C$3:$E$853,313)</f>
        <v xml:space="preserve"> </v>
      </c>
      <c r="B109" s="212"/>
      <c r="C109" s="216"/>
      <c r="D109" s="216"/>
      <c r="E109" s="216"/>
      <c r="F109" s="216"/>
      <c r="G109" s="72"/>
      <c r="H109" s="72"/>
      <c r="I109" s="85"/>
    </row>
    <row r="110" spans="1:9">
      <c r="A110" s="241"/>
      <c r="B110" s="242"/>
      <c r="C110" s="128"/>
      <c r="D110" s="128"/>
      <c r="E110" s="128"/>
      <c r="F110" s="128"/>
    </row>
    <row r="137" spans="1:5">
      <c r="A137"/>
      <c r="C137"/>
      <c r="D137"/>
      <c r="E137"/>
    </row>
    <row r="138" spans="1:5">
      <c r="A138"/>
      <c r="C138"/>
      <c r="D138"/>
      <c r="E138"/>
    </row>
    <row r="139" spans="1:5">
      <c r="A139"/>
      <c r="C139"/>
      <c r="D139"/>
      <c r="E139"/>
    </row>
    <row r="140" spans="1:5">
      <c r="A140"/>
      <c r="C140"/>
      <c r="D140"/>
      <c r="E140"/>
    </row>
    <row r="141" spans="1:5">
      <c r="A141"/>
      <c r="C141"/>
      <c r="D141"/>
      <c r="E141"/>
    </row>
    <row r="142" spans="1:5">
      <c r="A142"/>
      <c r="C142"/>
      <c r="D142"/>
      <c r="E142"/>
    </row>
    <row r="143" spans="1:5">
      <c r="A143"/>
      <c r="C143"/>
      <c r="D143"/>
      <c r="E143"/>
    </row>
    <row r="144" spans="1:5">
      <c r="A144"/>
      <c r="C144"/>
      <c r="D144"/>
      <c r="E144"/>
    </row>
    <row r="145" spans="1:5">
      <c r="A145"/>
      <c r="C145"/>
      <c r="D145"/>
      <c r="E145"/>
    </row>
    <row r="146" spans="1:5">
      <c r="A146"/>
      <c r="C146"/>
      <c r="D146"/>
      <c r="E146"/>
    </row>
    <row r="147" spans="1:5">
      <c r="A147"/>
      <c r="C147"/>
      <c r="D147"/>
      <c r="E147"/>
    </row>
    <row r="148" spans="1:5">
      <c r="A148"/>
      <c r="C148"/>
      <c r="D148"/>
      <c r="E148"/>
    </row>
    <row r="149" spans="1:5">
      <c r="A149"/>
      <c r="C149"/>
      <c r="D149"/>
      <c r="E149"/>
    </row>
    <row r="150" spans="1:5">
      <c r="A150"/>
      <c r="C150"/>
      <c r="D150"/>
      <c r="E150"/>
    </row>
    <row r="151" spans="1:5">
      <c r="A151"/>
      <c r="C151"/>
      <c r="D151"/>
      <c r="E151"/>
    </row>
    <row r="152" spans="1:5">
      <c r="A152"/>
      <c r="C152"/>
      <c r="D152"/>
      <c r="E152"/>
    </row>
    <row r="153" spans="1:5">
      <c r="A153"/>
      <c r="C153"/>
      <c r="D153"/>
      <c r="E153"/>
    </row>
    <row r="154" spans="1:5">
      <c r="A154"/>
      <c r="C154"/>
      <c r="D154"/>
      <c r="E154"/>
    </row>
    <row r="155" spans="1:5">
      <c r="A155"/>
      <c r="C155"/>
      <c r="D155"/>
      <c r="E155"/>
    </row>
    <row r="156" spans="1:5">
      <c r="A156"/>
      <c r="C156"/>
      <c r="D156"/>
      <c r="E156"/>
    </row>
    <row r="157" spans="1:5">
      <c r="A157"/>
      <c r="C157"/>
      <c r="D157"/>
      <c r="E157"/>
    </row>
    <row r="158" spans="1:5">
      <c r="A158"/>
      <c r="C158"/>
      <c r="D158"/>
      <c r="E158"/>
    </row>
    <row r="159" spans="1:5">
      <c r="A159"/>
      <c r="C159"/>
      <c r="D159"/>
      <c r="E159"/>
    </row>
    <row r="160" spans="1:5">
      <c r="A160"/>
      <c r="C160"/>
      <c r="D160"/>
      <c r="E160"/>
    </row>
    <row r="161" spans="1:5">
      <c r="A161"/>
      <c r="C161"/>
      <c r="D161"/>
      <c r="E161"/>
    </row>
    <row r="162" spans="1:5">
      <c r="A162"/>
      <c r="C162"/>
      <c r="D162"/>
      <c r="E162"/>
    </row>
    <row r="163" spans="1:5">
      <c r="A163"/>
      <c r="C163"/>
      <c r="D163"/>
      <c r="E163"/>
    </row>
    <row r="164" spans="1:5">
      <c r="A164"/>
      <c r="C164"/>
      <c r="D164"/>
      <c r="E164"/>
    </row>
    <row r="165" spans="1:5">
      <c r="A165"/>
      <c r="C165"/>
      <c r="D165"/>
      <c r="E165"/>
    </row>
    <row r="166" spans="1:5">
      <c r="A166"/>
      <c r="C166"/>
      <c r="D166"/>
      <c r="E166"/>
    </row>
  </sheetData>
  <mergeCells count="4">
    <mergeCell ref="B6:E6"/>
    <mergeCell ref="F6:H6"/>
    <mergeCell ref="B60:E60"/>
    <mergeCell ref="F60:H6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7"/>
  <sheetViews>
    <sheetView showGridLines="0" zoomScale="85" zoomScaleNormal="85" workbookViewId="0"/>
  </sheetViews>
  <sheetFormatPr baseColWidth="10" defaultRowHeight="15"/>
  <cols>
    <col min="1" max="1" width="65.85546875" style="217" customWidth="1"/>
    <col min="2" max="2" width="10.7109375" customWidth="1"/>
    <col min="3" max="5" width="10.7109375" style="218" customWidth="1"/>
    <col min="6" max="8" width="10.7109375" customWidth="1"/>
    <col min="255" max="255" width="65.85546875" customWidth="1"/>
    <col min="256" max="263" width="10.7109375" customWidth="1"/>
    <col min="511" max="511" width="65.85546875" customWidth="1"/>
    <col min="512" max="519" width="10.7109375" customWidth="1"/>
    <col min="767" max="767" width="65.85546875" customWidth="1"/>
    <col min="768" max="775" width="10.7109375" customWidth="1"/>
    <col min="1023" max="1023" width="65.85546875" customWidth="1"/>
    <col min="1024" max="1031" width="10.7109375" customWidth="1"/>
    <col min="1279" max="1279" width="65.85546875" customWidth="1"/>
    <col min="1280" max="1287" width="10.7109375" customWidth="1"/>
    <col min="1535" max="1535" width="65.85546875" customWidth="1"/>
    <col min="1536" max="1543" width="10.7109375" customWidth="1"/>
    <col min="1791" max="1791" width="65.85546875" customWidth="1"/>
    <col min="1792" max="1799" width="10.7109375" customWidth="1"/>
    <col min="2047" max="2047" width="65.85546875" customWidth="1"/>
    <col min="2048" max="2055" width="10.7109375" customWidth="1"/>
    <col min="2303" max="2303" width="65.85546875" customWidth="1"/>
    <col min="2304" max="2311" width="10.7109375" customWidth="1"/>
    <col min="2559" max="2559" width="65.85546875" customWidth="1"/>
    <col min="2560" max="2567" width="10.7109375" customWidth="1"/>
    <col min="2815" max="2815" width="65.85546875" customWidth="1"/>
    <col min="2816" max="2823" width="10.7109375" customWidth="1"/>
    <col min="3071" max="3071" width="65.85546875" customWidth="1"/>
    <col min="3072" max="3079" width="10.7109375" customWidth="1"/>
    <col min="3327" max="3327" width="65.85546875" customWidth="1"/>
    <col min="3328" max="3335" width="10.7109375" customWidth="1"/>
    <col min="3583" max="3583" width="65.85546875" customWidth="1"/>
    <col min="3584" max="3591" width="10.7109375" customWidth="1"/>
    <col min="3839" max="3839" width="65.85546875" customWidth="1"/>
    <col min="3840" max="3847" width="10.7109375" customWidth="1"/>
    <col min="4095" max="4095" width="65.85546875" customWidth="1"/>
    <col min="4096" max="4103" width="10.7109375" customWidth="1"/>
    <col min="4351" max="4351" width="65.85546875" customWidth="1"/>
    <col min="4352" max="4359" width="10.7109375" customWidth="1"/>
    <col min="4607" max="4607" width="65.85546875" customWidth="1"/>
    <col min="4608" max="4615" width="10.7109375" customWidth="1"/>
    <col min="4863" max="4863" width="65.85546875" customWidth="1"/>
    <col min="4864" max="4871" width="10.7109375" customWidth="1"/>
    <col min="5119" max="5119" width="65.85546875" customWidth="1"/>
    <col min="5120" max="5127" width="10.7109375" customWidth="1"/>
    <col min="5375" max="5375" width="65.85546875" customWidth="1"/>
    <col min="5376" max="5383" width="10.7109375" customWidth="1"/>
    <col min="5631" max="5631" width="65.85546875" customWidth="1"/>
    <col min="5632" max="5639" width="10.7109375" customWidth="1"/>
    <col min="5887" max="5887" width="65.85546875" customWidth="1"/>
    <col min="5888" max="5895" width="10.7109375" customWidth="1"/>
    <col min="6143" max="6143" width="65.85546875" customWidth="1"/>
    <col min="6144" max="6151" width="10.7109375" customWidth="1"/>
    <col min="6399" max="6399" width="65.85546875" customWidth="1"/>
    <col min="6400" max="6407" width="10.7109375" customWidth="1"/>
    <col min="6655" max="6655" width="65.85546875" customWidth="1"/>
    <col min="6656" max="6663" width="10.7109375" customWidth="1"/>
    <col min="6911" max="6911" width="65.85546875" customWidth="1"/>
    <col min="6912" max="6919" width="10.7109375" customWidth="1"/>
    <col min="7167" max="7167" width="65.85546875" customWidth="1"/>
    <col min="7168" max="7175" width="10.7109375" customWidth="1"/>
    <col min="7423" max="7423" width="65.85546875" customWidth="1"/>
    <col min="7424" max="7431" width="10.7109375" customWidth="1"/>
    <col min="7679" max="7679" width="65.85546875" customWidth="1"/>
    <col min="7680" max="7687" width="10.7109375" customWidth="1"/>
    <col min="7935" max="7935" width="65.85546875" customWidth="1"/>
    <col min="7936" max="7943" width="10.7109375" customWidth="1"/>
    <col min="8191" max="8191" width="65.85546875" customWidth="1"/>
    <col min="8192" max="8199" width="10.7109375" customWidth="1"/>
    <col min="8447" max="8447" width="65.85546875" customWidth="1"/>
    <col min="8448" max="8455" width="10.7109375" customWidth="1"/>
    <col min="8703" max="8703" width="65.85546875" customWidth="1"/>
    <col min="8704" max="8711" width="10.7109375" customWidth="1"/>
    <col min="8959" max="8959" width="65.85546875" customWidth="1"/>
    <col min="8960" max="8967" width="10.7109375" customWidth="1"/>
    <col min="9215" max="9215" width="65.85546875" customWidth="1"/>
    <col min="9216" max="9223" width="10.7109375" customWidth="1"/>
    <col min="9471" max="9471" width="65.85546875" customWidth="1"/>
    <col min="9472" max="9479" width="10.7109375" customWidth="1"/>
    <col min="9727" max="9727" width="65.85546875" customWidth="1"/>
    <col min="9728" max="9735" width="10.7109375" customWidth="1"/>
    <col min="9983" max="9983" width="65.85546875" customWidth="1"/>
    <col min="9984" max="9991" width="10.7109375" customWidth="1"/>
    <col min="10239" max="10239" width="65.85546875" customWidth="1"/>
    <col min="10240" max="10247" width="10.7109375" customWidth="1"/>
    <col min="10495" max="10495" width="65.85546875" customWidth="1"/>
    <col min="10496" max="10503" width="10.7109375" customWidth="1"/>
    <col min="10751" max="10751" width="65.85546875" customWidth="1"/>
    <col min="10752" max="10759" width="10.7109375" customWidth="1"/>
    <col min="11007" max="11007" width="65.85546875" customWidth="1"/>
    <col min="11008" max="11015" width="10.7109375" customWidth="1"/>
    <col min="11263" max="11263" width="65.85546875" customWidth="1"/>
    <col min="11264" max="11271" width="10.7109375" customWidth="1"/>
    <col min="11519" max="11519" width="65.85546875" customWidth="1"/>
    <col min="11520" max="11527" width="10.7109375" customWidth="1"/>
    <col min="11775" max="11775" width="65.85546875" customWidth="1"/>
    <col min="11776" max="11783" width="10.7109375" customWidth="1"/>
    <col min="12031" max="12031" width="65.85546875" customWidth="1"/>
    <col min="12032" max="12039" width="10.7109375" customWidth="1"/>
    <col min="12287" max="12287" width="65.85546875" customWidth="1"/>
    <col min="12288" max="12295" width="10.7109375" customWidth="1"/>
    <col min="12543" max="12543" width="65.85546875" customWidth="1"/>
    <col min="12544" max="12551" width="10.7109375" customWidth="1"/>
    <col min="12799" max="12799" width="65.85546875" customWidth="1"/>
    <col min="12800" max="12807" width="10.7109375" customWidth="1"/>
    <col min="13055" max="13055" width="65.85546875" customWidth="1"/>
    <col min="13056" max="13063" width="10.7109375" customWidth="1"/>
    <col min="13311" max="13311" width="65.85546875" customWidth="1"/>
    <col min="13312" max="13319" width="10.7109375" customWidth="1"/>
    <col min="13567" max="13567" width="65.85546875" customWidth="1"/>
    <col min="13568" max="13575" width="10.7109375" customWidth="1"/>
    <col min="13823" max="13823" width="65.85546875" customWidth="1"/>
    <col min="13824" max="13831" width="10.7109375" customWidth="1"/>
    <col min="14079" max="14079" width="65.85546875" customWidth="1"/>
    <col min="14080" max="14087" width="10.7109375" customWidth="1"/>
    <col min="14335" max="14335" width="65.85546875" customWidth="1"/>
    <col min="14336" max="14343" width="10.7109375" customWidth="1"/>
    <col min="14591" max="14591" width="65.85546875" customWidth="1"/>
    <col min="14592" max="14599" width="10.7109375" customWidth="1"/>
    <col min="14847" max="14847" width="65.85546875" customWidth="1"/>
    <col min="14848" max="14855" width="10.7109375" customWidth="1"/>
    <col min="15103" max="15103" width="65.85546875" customWidth="1"/>
    <col min="15104" max="15111" width="10.7109375" customWidth="1"/>
    <col min="15359" max="15359" width="65.85546875" customWidth="1"/>
    <col min="15360" max="15367" width="10.7109375" customWidth="1"/>
    <col min="15615" max="15615" width="65.85546875" customWidth="1"/>
    <col min="15616" max="15623" width="10.7109375" customWidth="1"/>
    <col min="15871" max="15871" width="65.85546875" customWidth="1"/>
    <col min="15872" max="15879" width="10.7109375" customWidth="1"/>
    <col min="16127" max="16127" width="65.85546875" customWidth="1"/>
    <col min="16128" max="16135" width="10.7109375" customWidth="1"/>
  </cols>
  <sheetData>
    <row r="1" spans="1:8" ht="18" customHeight="1">
      <c r="A1" s="197" t="s">
        <v>31</v>
      </c>
      <c r="B1" s="72"/>
      <c r="C1" s="72"/>
      <c r="D1" s="72"/>
      <c r="E1" s="72"/>
      <c r="F1" s="72"/>
      <c r="G1" s="72"/>
      <c r="H1" s="72"/>
    </row>
    <row r="2" spans="1:8" ht="18" customHeight="1">
      <c r="A2" s="198"/>
      <c r="B2" s="72"/>
      <c r="C2" s="72"/>
      <c r="D2" s="72"/>
      <c r="E2" s="72"/>
      <c r="F2" s="72"/>
      <c r="G2" s="72"/>
      <c r="H2" s="72"/>
    </row>
    <row r="3" spans="1:8" ht="18" customHeight="1">
      <c r="A3" s="233" t="s">
        <v>179</v>
      </c>
      <c r="B3" s="234"/>
      <c r="C3" s="234"/>
      <c r="D3" s="234"/>
      <c r="E3" s="234"/>
      <c r="F3" s="234"/>
      <c r="G3" s="235"/>
      <c r="H3" s="235"/>
    </row>
    <row r="4" spans="1:8">
      <c r="A4" s="68" t="s">
        <v>55</v>
      </c>
      <c r="B4" s="72"/>
      <c r="C4" s="72"/>
      <c r="D4" s="72"/>
      <c r="E4" s="72"/>
      <c r="F4" s="72"/>
      <c r="G4" s="72"/>
      <c r="H4" s="72"/>
    </row>
    <row r="5" spans="1:8">
      <c r="A5" s="201"/>
      <c r="B5" s="72"/>
      <c r="C5" s="200"/>
      <c r="D5" s="200"/>
      <c r="E5" s="200"/>
      <c r="F5" s="72"/>
      <c r="G5" s="72"/>
      <c r="H5" s="72"/>
    </row>
    <row r="6" spans="1:8" ht="15.75">
      <c r="A6" s="73"/>
      <c r="B6" s="315">
        <v>2017</v>
      </c>
      <c r="C6" s="316"/>
      <c r="D6" s="316"/>
      <c r="E6" s="316"/>
      <c r="F6" s="315">
        <v>2018</v>
      </c>
      <c r="G6" s="316"/>
      <c r="H6" s="316"/>
    </row>
    <row r="7" spans="1:8" ht="15.75">
      <c r="A7" s="73"/>
      <c r="B7" s="93" t="s">
        <v>751</v>
      </c>
      <c r="C7" s="93" t="s">
        <v>65</v>
      </c>
      <c r="D7" s="93" t="s">
        <v>752</v>
      </c>
      <c r="E7" s="93" t="s">
        <v>69</v>
      </c>
      <c r="F7" s="93" t="s">
        <v>751</v>
      </c>
      <c r="G7" s="93" t="s">
        <v>65</v>
      </c>
      <c r="H7" s="93" t="s">
        <v>752</v>
      </c>
    </row>
    <row r="8" spans="1:8">
      <c r="A8" s="139" t="s">
        <v>71</v>
      </c>
      <c r="B8" s="202">
        <v>175.95199965000003</v>
      </c>
      <c r="C8" s="77">
        <v>189.65899954</v>
      </c>
      <c r="D8" s="77">
        <v>184.54727232999997</v>
      </c>
      <c r="E8" s="203">
        <v>201.10200119000001</v>
      </c>
      <c r="F8" s="77">
        <v>180.386</v>
      </c>
      <c r="G8" s="77">
        <v>189.99700000000001</v>
      </c>
      <c r="H8" s="77">
        <v>36.228999999999999</v>
      </c>
    </row>
    <row r="9" spans="1:8">
      <c r="A9" s="125" t="s">
        <v>73</v>
      </c>
      <c r="B9" s="204">
        <v>49.744000839999998</v>
      </c>
      <c r="C9" s="82">
        <v>53.751999949999998</v>
      </c>
      <c r="D9" s="82">
        <v>55.960998359999998</v>
      </c>
      <c r="E9" s="205">
        <v>50.702856569999994</v>
      </c>
      <c r="F9" s="82">
        <v>45.089000000000013</v>
      </c>
      <c r="G9" s="82">
        <v>40.846878440000012</v>
      </c>
      <c r="H9" s="82">
        <v>6.7339569999999931</v>
      </c>
    </row>
    <row r="10" spans="1:8">
      <c r="A10" s="125" t="s">
        <v>75</v>
      </c>
      <c r="B10" s="204">
        <v>29.701838850000001</v>
      </c>
      <c r="C10" s="82">
        <v>32.508171529999998</v>
      </c>
      <c r="D10" s="82">
        <v>36.661050009999997</v>
      </c>
      <c r="E10" s="205">
        <v>42.413326490000003</v>
      </c>
      <c r="F10" s="82">
        <v>40.188545000000005</v>
      </c>
      <c r="G10" s="82">
        <v>40.799216000000008</v>
      </c>
      <c r="H10" s="82">
        <v>11.497321739999997</v>
      </c>
    </row>
    <row r="11" spans="1:8">
      <c r="A11" s="125" t="s">
        <v>182</v>
      </c>
      <c r="B11" s="204">
        <v>20.184000009999998</v>
      </c>
      <c r="C11" s="82">
        <v>28.63000023</v>
      </c>
      <c r="D11" s="82">
        <v>22.837997359999999</v>
      </c>
      <c r="E11" s="205">
        <v>14.413003479999995</v>
      </c>
      <c r="F11" s="82">
        <v>14.984</v>
      </c>
      <c r="G11" s="82">
        <v>18.338999999999999</v>
      </c>
      <c r="H11" s="82">
        <v>-186.98000000000002</v>
      </c>
    </row>
    <row r="12" spans="1:8">
      <c r="A12" s="139" t="s">
        <v>83</v>
      </c>
      <c r="B12" s="202">
        <v>275.58183935</v>
      </c>
      <c r="C12" s="77">
        <v>304.54917124999997</v>
      </c>
      <c r="D12" s="77">
        <v>300.00731805999999</v>
      </c>
      <c r="E12" s="203">
        <v>308.63118772999997</v>
      </c>
      <c r="F12" s="77">
        <v>280.64754500000004</v>
      </c>
      <c r="G12" s="77">
        <v>289.98209444000003</v>
      </c>
      <c r="H12" s="77">
        <v>-132.51972126000001</v>
      </c>
    </row>
    <row r="13" spans="1:8">
      <c r="A13" s="125" t="s">
        <v>85</v>
      </c>
      <c r="B13" s="204">
        <v>-174.31253670000001</v>
      </c>
      <c r="C13" s="82">
        <v>-174.08154089999996</v>
      </c>
      <c r="D13" s="82">
        <v>-150.59453615000004</v>
      </c>
      <c r="E13" s="205">
        <v>-167.73453652000001</v>
      </c>
      <c r="F13" s="82">
        <v>-150.69846621000002</v>
      </c>
      <c r="G13" s="82">
        <v>-131.15783762999999</v>
      </c>
      <c r="H13" s="82">
        <v>-25.351479250000004</v>
      </c>
    </row>
    <row r="14" spans="1:8">
      <c r="A14" s="125" t="s">
        <v>87</v>
      </c>
      <c r="B14" s="204">
        <v>-168.02053582000002</v>
      </c>
      <c r="C14" s="82">
        <v>-166.43954199999996</v>
      </c>
      <c r="D14" s="82">
        <v>-142.93053597000005</v>
      </c>
      <c r="E14" s="205">
        <v>-159.73753538999998</v>
      </c>
      <c r="F14" s="82">
        <v>-143.41646621000001</v>
      </c>
      <c r="G14" s="82">
        <v>-124.70583762999999</v>
      </c>
      <c r="H14" s="82">
        <v>-17.960479250000006</v>
      </c>
    </row>
    <row r="15" spans="1:8">
      <c r="A15" s="141" t="s">
        <v>89</v>
      </c>
      <c r="B15" s="204">
        <v>-93.685999260000003</v>
      </c>
      <c r="C15" s="82">
        <v>-91.656001629999992</v>
      </c>
      <c r="D15" s="82">
        <v>-80.529999480000015</v>
      </c>
      <c r="E15" s="205">
        <v>-94.222001979999987</v>
      </c>
      <c r="F15" s="82">
        <v>-81.317999999999998</v>
      </c>
      <c r="G15" s="82">
        <v>-68.405000000000001</v>
      </c>
      <c r="H15" s="82">
        <v>-11.04</v>
      </c>
    </row>
    <row r="16" spans="1:8">
      <c r="A16" s="141" t="s">
        <v>91</v>
      </c>
      <c r="B16" s="204">
        <v>-74.334536559999989</v>
      </c>
      <c r="C16" s="82">
        <v>-74.783540369999997</v>
      </c>
      <c r="D16" s="82">
        <v>-62.400536490000022</v>
      </c>
      <c r="E16" s="205">
        <v>-65.515533409999975</v>
      </c>
      <c r="F16" s="82">
        <v>-62.098466210000012</v>
      </c>
      <c r="G16" s="82">
        <v>-56.30083762999999</v>
      </c>
      <c r="H16" s="82">
        <v>-6.9204792500000067</v>
      </c>
    </row>
    <row r="17" spans="1:8" ht="13.5" customHeight="1">
      <c r="A17" s="125" t="s">
        <v>93</v>
      </c>
      <c r="B17" s="204">
        <v>-6.2920008799999998</v>
      </c>
      <c r="C17" s="82">
        <v>-7.641998899999999</v>
      </c>
      <c r="D17" s="82">
        <v>-7.6640001799999995</v>
      </c>
      <c r="E17" s="205">
        <v>-7.9970011299999992</v>
      </c>
      <c r="F17" s="82">
        <v>-7.2819999999999983</v>
      </c>
      <c r="G17" s="82">
        <v>-6.4520000000000008</v>
      </c>
      <c r="H17" s="82">
        <v>-7.391</v>
      </c>
    </row>
    <row r="18" spans="1:8" ht="12.75" customHeight="1">
      <c r="A18" s="139" t="s">
        <v>95</v>
      </c>
      <c r="B18" s="202">
        <v>101.26930265000001</v>
      </c>
      <c r="C18" s="77">
        <v>130.46763035000001</v>
      </c>
      <c r="D18" s="77">
        <v>149.41278190999998</v>
      </c>
      <c r="E18" s="203">
        <v>140.89665121000007</v>
      </c>
      <c r="F18" s="77">
        <v>129.94907878999999</v>
      </c>
      <c r="G18" s="77">
        <v>158.82425681000004</v>
      </c>
      <c r="H18" s="77">
        <v>-157.87120050999997</v>
      </c>
    </row>
    <row r="19" spans="1:8" ht="13.5" customHeight="1">
      <c r="A19" s="125" t="s">
        <v>97</v>
      </c>
      <c r="B19" s="204">
        <v>-16.805000419999999</v>
      </c>
      <c r="C19" s="82">
        <v>-9.9559998000000007</v>
      </c>
      <c r="D19" s="82">
        <v>-13.899999060000001</v>
      </c>
      <c r="E19" s="205">
        <v>9.9129998399999977</v>
      </c>
      <c r="F19" s="82">
        <v>-15.223000000000003</v>
      </c>
      <c r="G19" s="82">
        <v>-21.609000009999999</v>
      </c>
      <c r="H19" s="82">
        <v>-10.86999999</v>
      </c>
    </row>
    <row r="20" spans="1:8" ht="13.5" customHeight="1">
      <c r="A20" s="125" t="s">
        <v>291</v>
      </c>
      <c r="B20" s="204">
        <v>-2.7219996999999996</v>
      </c>
      <c r="C20" s="82">
        <v>-7.1859993299999987</v>
      </c>
      <c r="D20" s="82">
        <v>-11.591001139999998</v>
      </c>
      <c r="E20" s="205">
        <v>-16.523997690000005</v>
      </c>
      <c r="F20" s="82">
        <v>-8.17</v>
      </c>
      <c r="G20" s="82">
        <v>-7.8410000000000082</v>
      </c>
      <c r="H20" s="82">
        <v>-2.5549999999999908</v>
      </c>
    </row>
    <row r="21" spans="1:8" ht="12.75" customHeight="1">
      <c r="A21" s="139" t="s">
        <v>103</v>
      </c>
      <c r="B21" s="202">
        <v>81.742302530000003</v>
      </c>
      <c r="C21" s="77">
        <v>113.32563122000002</v>
      </c>
      <c r="D21" s="77">
        <v>123.92178170999998</v>
      </c>
      <c r="E21" s="203">
        <v>134.28565336000008</v>
      </c>
      <c r="F21" s="77">
        <v>106.55607879</v>
      </c>
      <c r="G21" s="77">
        <v>129.37425680000004</v>
      </c>
      <c r="H21" s="77">
        <v>-171.2962005</v>
      </c>
    </row>
    <row r="22" spans="1:8" ht="13.5" customHeight="1">
      <c r="A22" s="125" t="s">
        <v>105</v>
      </c>
      <c r="B22" s="204">
        <v>-27.39765585</v>
      </c>
      <c r="C22" s="82">
        <v>-32.314533660000002</v>
      </c>
      <c r="D22" s="82">
        <v>-42.504113940000003</v>
      </c>
      <c r="E22" s="205">
        <v>-52.984403289999989</v>
      </c>
      <c r="F22" s="82">
        <v>-31.39985493999999</v>
      </c>
      <c r="G22" s="82">
        <v>-39.647003619999992</v>
      </c>
      <c r="H22" s="82">
        <v>4.4932862299999989</v>
      </c>
    </row>
    <row r="23" spans="1:8" ht="13.5" customHeight="1">
      <c r="A23" s="139" t="s">
        <v>107</v>
      </c>
      <c r="B23" s="202">
        <v>54.344646679999997</v>
      </c>
      <c r="C23" s="77">
        <v>81.011097560000024</v>
      </c>
      <c r="D23" s="77">
        <v>81.417667769999952</v>
      </c>
      <c r="E23" s="203">
        <v>81.301250070000066</v>
      </c>
      <c r="F23" s="77">
        <v>75.156223850000003</v>
      </c>
      <c r="G23" s="77">
        <v>89.727253180000048</v>
      </c>
      <c r="H23" s="77">
        <v>-166.80291426999997</v>
      </c>
    </row>
    <row r="24" spans="1:8" ht="12" customHeight="1">
      <c r="A24" s="125" t="s">
        <v>109</v>
      </c>
      <c r="B24" s="204">
        <v>-11.712260110000001</v>
      </c>
      <c r="C24" s="82">
        <v>-17.751846169999993</v>
      </c>
      <c r="D24" s="82">
        <v>-24.42315279</v>
      </c>
      <c r="E24" s="205">
        <v>-25.28919483</v>
      </c>
      <c r="F24" s="82">
        <v>-23.223381000000003</v>
      </c>
      <c r="G24" s="82">
        <v>-29.147843249999998</v>
      </c>
      <c r="H24" s="82">
        <v>52.526852250000005</v>
      </c>
    </row>
    <row r="25" spans="1:8" ht="14.25" customHeight="1">
      <c r="A25" s="206" t="s">
        <v>111</v>
      </c>
      <c r="B25" s="207">
        <v>42.632386570000001</v>
      </c>
      <c r="C25" s="208">
        <v>63.259251390000024</v>
      </c>
      <c r="D25" s="208">
        <v>56.994514979999956</v>
      </c>
      <c r="E25" s="209">
        <v>56.012055240000066</v>
      </c>
      <c r="F25" s="208">
        <v>51.93284285</v>
      </c>
      <c r="G25" s="208">
        <v>60.579409930000054</v>
      </c>
      <c r="H25" s="208">
        <v>-114.27606201999998</v>
      </c>
    </row>
    <row r="26" spans="1:8" ht="14.25" customHeight="1">
      <c r="A26" s="215"/>
      <c r="B26" s="72"/>
      <c r="C26" s="72"/>
      <c r="D26" s="72"/>
      <c r="E26" s="72"/>
      <c r="F26" s="72"/>
      <c r="G26" s="72"/>
      <c r="H26" s="72"/>
    </row>
    <row r="27" spans="1:8" ht="14.25" customHeight="1">
      <c r="A27" s="139"/>
      <c r="B27" s="77"/>
      <c r="C27" s="77"/>
      <c r="D27" s="77"/>
      <c r="E27" s="77"/>
      <c r="F27" s="77"/>
      <c r="G27" s="77"/>
      <c r="H27" s="77"/>
    </row>
    <row r="28" spans="1:8" ht="18" customHeight="1">
      <c r="A28" s="233" t="s">
        <v>181</v>
      </c>
      <c r="B28" s="234"/>
      <c r="C28" s="234"/>
      <c r="D28" s="234"/>
      <c r="E28" s="234"/>
      <c r="F28" s="234"/>
      <c r="G28" s="235"/>
      <c r="H28" s="235"/>
    </row>
    <row r="29" spans="1:8" ht="12.75" customHeight="1">
      <c r="A29" s="68" t="s">
        <v>55</v>
      </c>
      <c r="B29" s="72"/>
      <c r="C29" s="72"/>
      <c r="D29" s="72"/>
      <c r="E29" s="72"/>
      <c r="F29" s="72"/>
      <c r="G29" s="72"/>
      <c r="H29" s="72"/>
    </row>
    <row r="30" spans="1:8" ht="13.5" customHeight="1">
      <c r="A30" s="72"/>
      <c r="B30" s="59">
        <v>42825</v>
      </c>
      <c r="C30" s="59">
        <v>42916</v>
      </c>
      <c r="D30" s="59">
        <v>43008</v>
      </c>
      <c r="E30" s="59">
        <v>43100</v>
      </c>
      <c r="F30" s="59">
        <v>43190</v>
      </c>
      <c r="G30" s="59">
        <v>43281</v>
      </c>
      <c r="H30" s="59">
        <v>43373</v>
      </c>
    </row>
    <row r="31" spans="1:8" s="86" customFormat="1">
      <c r="A31" s="125" t="s">
        <v>120</v>
      </c>
      <c r="B31" s="204">
        <v>2496</v>
      </c>
      <c r="C31" s="82">
        <v>1967</v>
      </c>
      <c r="D31" s="82">
        <v>1344</v>
      </c>
      <c r="E31" s="205">
        <v>1667</v>
      </c>
      <c r="F31" s="82">
        <v>1488</v>
      </c>
      <c r="G31" s="82">
        <v>1681.9579999999999</v>
      </c>
      <c r="H31" s="82">
        <v>1920.4470000000003</v>
      </c>
    </row>
    <row r="32" spans="1:8" s="86" customFormat="1">
      <c r="A32" s="125" t="s">
        <v>192</v>
      </c>
      <c r="B32" s="204">
        <v>870</v>
      </c>
      <c r="C32" s="82">
        <v>1207</v>
      </c>
      <c r="D32" s="82">
        <v>1083</v>
      </c>
      <c r="E32" s="205">
        <v>1030</v>
      </c>
      <c r="F32" s="82">
        <v>852</v>
      </c>
      <c r="G32" s="82">
        <v>806.19299999999998</v>
      </c>
      <c r="H32" s="82">
        <v>735.25</v>
      </c>
    </row>
    <row r="33" spans="1:8" s="86" customFormat="1">
      <c r="A33" s="125" t="s">
        <v>705</v>
      </c>
      <c r="B33" s="204">
        <v>5884</v>
      </c>
      <c r="C33" s="82">
        <v>5157</v>
      </c>
      <c r="D33" s="82">
        <v>5856</v>
      </c>
      <c r="E33" s="205">
        <v>6257</v>
      </c>
      <c r="F33" s="82">
        <v>6130</v>
      </c>
      <c r="G33" s="82">
        <v>5388.91</v>
      </c>
      <c r="H33" s="82">
        <v>4295.472999999999</v>
      </c>
    </row>
    <row r="34" spans="1:8" s="86" customFormat="1">
      <c r="A34" s="125" t="s">
        <v>195</v>
      </c>
      <c r="B34" s="204">
        <v>4681</v>
      </c>
      <c r="C34" s="82">
        <v>4597</v>
      </c>
      <c r="D34" s="82">
        <v>5274</v>
      </c>
      <c r="E34" s="205">
        <v>5767</v>
      </c>
      <c r="F34" s="82">
        <v>5700</v>
      </c>
      <c r="G34" s="82">
        <v>5035.9880000000003</v>
      </c>
      <c r="H34" s="82">
        <v>3911.4229999999989</v>
      </c>
    </row>
    <row r="35" spans="1:8" s="86" customFormat="1">
      <c r="A35" s="125" t="s">
        <v>140</v>
      </c>
      <c r="B35" s="204">
        <v>256</v>
      </c>
      <c r="C35" s="82">
        <v>231</v>
      </c>
      <c r="D35" s="82">
        <v>223</v>
      </c>
      <c r="E35" s="205">
        <v>220</v>
      </c>
      <c r="F35" s="82">
        <v>198</v>
      </c>
      <c r="G35" s="82">
        <v>157.20599999999999</v>
      </c>
      <c r="H35" s="82">
        <v>313.68299999999999</v>
      </c>
    </row>
    <row r="36" spans="1:8" s="86" customFormat="1">
      <c r="A36" s="125" t="s">
        <v>144</v>
      </c>
      <c r="B36" s="204">
        <v>221</v>
      </c>
      <c r="C36" s="82">
        <v>222</v>
      </c>
      <c r="D36" s="82">
        <v>196</v>
      </c>
      <c r="E36" s="205">
        <v>188</v>
      </c>
      <c r="F36" s="82">
        <v>187</v>
      </c>
      <c r="G36" s="82">
        <v>166.01299999999998</v>
      </c>
      <c r="H36" s="82">
        <v>137.42699999999999</v>
      </c>
    </row>
    <row r="37" spans="1:8">
      <c r="A37" s="206" t="s">
        <v>201</v>
      </c>
      <c r="B37" s="207">
        <v>9727</v>
      </c>
      <c r="C37" s="208">
        <v>8784</v>
      </c>
      <c r="D37" s="208">
        <v>8702</v>
      </c>
      <c r="E37" s="209">
        <v>9363</v>
      </c>
      <c r="F37" s="208">
        <v>8854</v>
      </c>
      <c r="G37" s="208">
        <v>8200.2799999999988</v>
      </c>
      <c r="H37" s="208">
        <v>7403.115802289999</v>
      </c>
    </row>
    <row r="38" spans="1:8">
      <c r="A38" s="125" t="s">
        <v>207</v>
      </c>
      <c r="B38" s="204">
        <v>14</v>
      </c>
      <c r="C38" s="82">
        <v>19</v>
      </c>
      <c r="D38" s="82">
        <v>20</v>
      </c>
      <c r="E38" s="205">
        <v>27</v>
      </c>
      <c r="F38" s="82">
        <v>31</v>
      </c>
      <c r="G38" s="82">
        <v>74.932000000000002</v>
      </c>
      <c r="H38" s="82">
        <v>127.83</v>
      </c>
    </row>
    <row r="39" spans="1:8" s="86" customFormat="1">
      <c r="A39" s="125" t="s">
        <v>203</v>
      </c>
      <c r="B39" s="204">
        <v>51</v>
      </c>
      <c r="C39" s="82">
        <v>45</v>
      </c>
      <c r="D39" s="82">
        <v>118</v>
      </c>
      <c r="E39" s="205">
        <v>127</v>
      </c>
      <c r="F39" s="82">
        <v>127</v>
      </c>
      <c r="G39" s="82">
        <v>273.18</v>
      </c>
      <c r="H39" s="82">
        <v>177.44499999999999</v>
      </c>
    </row>
    <row r="40" spans="1:8" s="86" customFormat="1">
      <c r="A40" s="125" t="s">
        <v>205</v>
      </c>
      <c r="B40" s="204">
        <v>7447</v>
      </c>
      <c r="C40" s="82">
        <v>6663</v>
      </c>
      <c r="D40" s="82">
        <v>6259</v>
      </c>
      <c r="E40" s="205">
        <v>6814</v>
      </c>
      <c r="F40" s="82">
        <v>6440</v>
      </c>
      <c r="G40" s="82">
        <v>5935.3389999999999</v>
      </c>
      <c r="H40" s="82">
        <v>5400.5920000000006</v>
      </c>
    </row>
    <row r="41" spans="1:8" s="86" customFormat="1" ht="13.5" customHeight="1">
      <c r="A41" s="125" t="s">
        <v>209</v>
      </c>
      <c r="B41" s="204">
        <v>98</v>
      </c>
      <c r="C41" s="82">
        <v>74</v>
      </c>
      <c r="D41" s="82">
        <v>50</v>
      </c>
      <c r="E41" s="205">
        <v>86</v>
      </c>
      <c r="F41" s="82">
        <v>70</v>
      </c>
      <c r="G41" s="82">
        <v>51.067999999999998</v>
      </c>
      <c r="H41" s="82">
        <v>35.957999999999998</v>
      </c>
    </row>
    <row r="42" spans="1:8" s="86" customFormat="1">
      <c r="A42" s="125" t="s">
        <v>166</v>
      </c>
      <c r="B42" s="204">
        <v>1597</v>
      </c>
      <c r="C42" s="82">
        <v>1488</v>
      </c>
      <c r="D42" s="82">
        <v>1766</v>
      </c>
      <c r="E42" s="205">
        <v>1775</v>
      </c>
      <c r="F42" s="82">
        <v>1651</v>
      </c>
      <c r="G42" s="82">
        <v>1338.6086999999989</v>
      </c>
      <c r="H42" s="82">
        <v>1268.9288326799988</v>
      </c>
    </row>
    <row r="43" spans="1:8" s="86" customFormat="1" ht="12.75" customHeight="1">
      <c r="A43" s="125" t="s">
        <v>214</v>
      </c>
      <c r="B43" s="204">
        <v>522</v>
      </c>
      <c r="C43" s="82">
        <v>496</v>
      </c>
      <c r="D43" s="82">
        <v>489</v>
      </c>
      <c r="E43" s="205">
        <v>533</v>
      </c>
      <c r="F43" s="82">
        <v>536</v>
      </c>
      <c r="G43" s="82">
        <v>527.15230000000008</v>
      </c>
      <c r="H43" s="82">
        <v>392.36196961000002</v>
      </c>
    </row>
    <row r="44" spans="1:8" ht="12.75" customHeight="1">
      <c r="A44" s="215"/>
      <c r="B44" s="69"/>
      <c r="C44" s="82"/>
      <c r="D44" s="82"/>
      <c r="E44" s="82"/>
      <c r="F44" s="82"/>
      <c r="G44" s="82"/>
      <c r="H44" s="82"/>
    </row>
    <row r="45" spans="1:8" ht="12.75" customHeight="1">
      <c r="A45" s="125"/>
      <c r="B45" s="69"/>
      <c r="C45" s="82"/>
      <c r="D45" s="82"/>
      <c r="E45" s="82"/>
      <c r="F45" s="82"/>
      <c r="G45" s="82"/>
      <c r="H45" s="82"/>
    </row>
    <row r="46" spans="1:8" ht="18">
      <c r="A46" s="233" t="s">
        <v>216</v>
      </c>
      <c r="B46" s="234"/>
      <c r="C46" s="234"/>
      <c r="D46" s="234"/>
      <c r="E46" s="234"/>
      <c r="F46" s="234"/>
      <c r="G46" s="235"/>
      <c r="H46" s="235"/>
    </row>
    <row r="47" spans="1:8" ht="13.5" customHeight="1">
      <c r="A47" s="68" t="s">
        <v>55</v>
      </c>
      <c r="B47" s="72"/>
      <c r="C47" s="72"/>
      <c r="D47" s="72"/>
      <c r="E47" s="72"/>
      <c r="F47" s="72"/>
      <c r="G47" s="72"/>
      <c r="H47" s="72"/>
    </row>
    <row r="48" spans="1:8" ht="12.75" customHeight="1">
      <c r="A48" s="72"/>
      <c r="B48" s="59">
        <v>42825</v>
      </c>
      <c r="C48" s="59">
        <v>42916</v>
      </c>
      <c r="D48" s="59">
        <v>43008</v>
      </c>
      <c r="E48" s="59">
        <v>43100</v>
      </c>
      <c r="F48" s="59">
        <v>43190</v>
      </c>
      <c r="G48" s="59">
        <v>43281</v>
      </c>
      <c r="H48" s="59">
        <v>43373</v>
      </c>
    </row>
    <row r="49" spans="1:8" ht="12" customHeight="1">
      <c r="A49" s="125" t="s">
        <v>218</v>
      </c>
      <c r="B49" s="214">
        <v>4831</v>
      </c>
      <c r="C49" s="69">
        <v>4729</v>
      </c>
      <c r="D49" s="69">
        <v>5396</v>
      </c>
      <c r="E49" s="69">
        <v>5856</v>
      </c>
      <c r="F49" s="214">
        <v>5596</v>
      </c>
      <c r="G49" s="69">
        <v>5122.3740000000007</v>
      </c>
      <c r="H49" s="69">
        <v>3988.0650000000005</v>
      </c>
    </row>
    <row r="50" spans="1:8">
      <c r="A50" s="125" t="s">
        <v>549</v>
      </c>
      <c r="B50" s="213">
        <v>7392.6596576999982</v>
      </c>
      <c r="C50" s="82">
        <v>6614.4166173900012</v>
      </c>
      <c r="D50" s="82">
        <v>6204.9530281399984</v>
      </c>
      <c r="E50" s="82">
        <v>6768.0334408300014</v>
      </c>
      <c r="F50" s="213">
        <v>6436.2507519600003</v>
      </c>
      <c r="G50" s="82">
        <v>5935.3389999999999</v>
      </c>
      <c r="H50" s="69">
        <v>5404.8782923999997</v>
      </c>
    </row>
    <row r="51" spans="1:8">
      <c r="A51" s="125" t="s">
        <v>226</v>
      </c>
      <c r="B51" s="213">
        <v>1472.3090351400001</v>
      </c>
      <c r="C51" s="82">
        <v>1391.5839513599999</v>
      </c>
      <c r="D51" s="82">
        <v>1277.9241270299999</v>
      </c>
      <c r="E51" s="82">
        <v>1253.26774327</v>
      </c>
      <c r="F51" s="213">
        <v>1765.2382254300001</v>
      </c>
      <c r="G51" s="82">
        <v>1199.4117183000001</v>
      </c>
      <c r="H51" s="69">
        <v>782.59874320999995</v>
      </c>
    </row>
    <row r="52" spans="1:8">
      <c r="A52" s="125" t="s">
        <v>377</v>
      </c>
      <c r="B52" s="213">
        <v>0</v>
      </c>
      <c r="C52" s="82">
        <v>0</v>
      </c>
      <c r="D52" s="82">
        <v>0</v>
      </c>
      <c r="E52" s="82">
        <v>0</v>
      </c>
      <c r="F52" s="213">
        <v>0</v>
      </c>
      <c r="G52" s="82" t="s">
        <v>744</v>
      </c>
      <c r="H52" s="82" t="s">
        <v>744</v>
      </c>
    </row>
    <row r="53" spans="1:8">
      <c r="A53" s="125" t="s">
        <v>540</v>
      </c>
      <c r="B53" s="213">
        <v>0</v>
      </c>
      <c r="C53" s="82">
        <v>0</v>
      </c>
      <c r="D53" s="82">
        <v>0</v>
      </c>
      <c r="E53" s="82">
        <v>0</v>
      </c>
      <c r="F53" s="213">
        <v>0</v>
      </c>
      <c r="G53" s="82" t="s">
        <v>744</v>
      </c>
      <c r="H53" s="82" t="s">
        <v>744</v>
      </c>
    </row>
    <row r="54" spans="1:8">
      <c r="A54" s="215" t="s">
        <v>538</v>
      </c>
      <c r="B54" s="69"/>
      <c r="C54" s="69"/>
      <c r="D54" s="69"/>
      <c r="E54" s="69"/>
      <c r="F54" s="69"/>
      <c r="G54" s="69"/>
      <c r="H54" s="69"/>
    </row>
    <row r="55" spans="1:8">
      <c r="A55" s="215" t="s">
        <v>500</v>
      </c>
      <c r="B55" s="72"/>
      <c r="C55" s="72"/>
      <c r="D55" s="72"/>
      <c r="E55" s="72"/>
      <c r="F55" s="72"/>
      <c r="G55" s="72"/>
      <c r="H55" s="72"/>
    </row>
    <row r="56" spans="1:8">
      <c r="A56" s="215"/>
      <c r="B56" s="72"/>
      <c r="C56" s="72"/>
      <c r="D56" s="72"/>
      <c r="E56" s="72"/>
      <c r="F56" s="72"/>
      <c r="G56" s="72"/>
      <c r="H56" s="72"/>
    </row>
    <row r="57" spans="1:8" ht="18">
      <c r="A57" s="233" t="s">
        <v>179</v>
      </c>
      <c r="B57" s="234"/>
      <c r="C57" s="234"/>
      <c r="D57" s="234"/>
      <c r="E57" s="234"/>
      <c r="F57" s="234"/>
      <c r="G57" s="235"/>
      <c r="H57" s="235"/>
    </row>
    <row r="58" spans="1:8">
      <c r="A58" s="68" t="s">
        <v>57</v>
      </c>
      <c r="B58" s="72"/>
      <c r="C58" s="72"/>
      <c r="D58" s="72"/>
      <c r="E58" s="72"/>
      <c r="F58" s="72"/>
      <c r="G58" s="72"/>
      <c r="H58" s="72"/>
    </row>
    <row r="59" spans="1:8">
      <c r="A59" s="201"/>
      <c r="B59" s="72"/>
      <c r="C59" s="200"/>
      <c r="D59" s="200"/>
      <c r="E59" s="200"/>
      <c r="F59" s="72"/>
      <c r="G59" s="212"/>
      <c r="H59" s="212"/>
    </row>
    <row r="60" spans="1:8" ht="15.75">
      <c r="A60" s="73"/>
      <c r="B60" s="315">
        <v>2017</v>
      </c>
      <c r="C60" s="316"/>
      <c r="D60" s="316"/>
      <c r="E60" s="316"/>
      <c r="F60" s="315">
        <v>2018</v>
      </c>
      <c r="G60" s="316"/>
      <c r="H60" s="316"/>
    </row>
    <row r="61" spans="1:8" ht="15.75">
      <c r="A61" s="73"/>
      <c r="B61" s="93" t="s">
        <v>751</v>
      </c>
      <c r="C61" s="93" t="s">
        <v>65</v>
      </c>
      <c r="D61" s="93" t="s">
        <v>752</v>
      </c>
      <c r="E61" s="93" t="s">
        <v>69</v>
      </c>
      <c r="F61" s="93" t="s">
        <v>751</v>
      </c>
      <c r="G61" s="93" t="s">
        <v>65</v>
      </c>
      <c r="H61" s="93" t="s">
        <v>752</v>
      </c>
    </row>
    <row r="62" spans="1:8">
      <c r="A62" s="139" t="s">
        <v>71</v>
      </c>
      <c r="B62" s="202">
        <v>64.231454766794116</v>
      </c>
      <c r="C62" s="77">
        <v>71.727706493349785</v>
      </c>
      <c r="D62" s="77">
        <v>81.903992556296004</v>
      </c>
      <c r="E62" s="203">
        <v>89.910171569672613</v>
      </c>
      <c r="F62" s="139">
        <v>95.4076032705985</v>
      </c>
      <c r="G62" s="139">
        <v>115.24881190030838</v>
      </c>
      <c r="H62" s="139">
        <v>195.95558482909314</v>
      </c>
    </row>
    <row r="63" spans="1:8">
      <c r="A63" s="125" t="s">
        <v>73</v>
      </c>
      <c r="B63" s="204">
        <v>18.159097630203195</v>
      </c>
      <c r="C63" s="82">
        <v>20.327790051956171</v>
      </c>
      <c r="D63" s="82">
        <v>24.658222609364209</v>
      </c>
      <c r="E63" s="205">
        <v>22.952344887739294</v>
      </c>
      <c r="F63" s="216">
        <v>23.847934007450782</v>
      </c>
      <c r="G63" s="216">
        <v>25.028348345500689</v>
      </c>
      <c r="H63" s="216">
        <v>43.793553087048522</v>
      </c>
    </row>
    <row r="64" spans="1:8">
      <c r="A64" s="125" t="s">
        <v>75</v>
      </c>
      <c r="B64" s="204">
        <v>10.84268620066452</v>
      </c>
      <c r="C64" s="82">
        <v>12.291248095590609</v>
      </c>
      <c r="D64" s="82">
        <v>16.019091574333878</v>
      </c>
      <c r="E64" s="205">
        <v>18.727800728079142</v>
      </c>
      <c r="F64" s="216">
        <v>21.256044024384344</v>
      </c>
      <c r="G64" s="216">
        <v>24.805982053967469</v>
      </c>
      <c r="H64" s="216">
        <v>46.423056661648182</v>
      </c>
    </row>
    <row r="65" spans="1:8" ht="17.25" customHeight="1">
      <c r="A65" s="125" t="s">
        <v>182</v>
      </c>
      <c r="B65" s="204">
        <v>7.3681895416599605</v>
      </c>
      <c r="C65" s="82">
        <v>10.784192484828008</v>
      </c>
      <c r="D65" s="82">
        <v>10.221871315655045</v>
      </c>
      <c r="E65" s="205">
        <v>6.8845145495753979</v>
      </c>
      <c r="F65" s="216">
        <v>7.9251578692728257</v>
      </c>
      <c r="G65" s="216">
        <v>11.027395900041991</v>
      </c>
      <c r="H65" s="216">
        <v>-172.60955376931483</v>
      </c>
    </row>
    <row r="66" spans="1:8" ht="15.75" customHeight="1">
      <c r="A66" s="139" t="s">
        <v>83</v>
      </c>
      <c r="B66" s="202">
        <v>100.6014281393218</v>
      </c>
      <c r="C66" s="77">
        <v>115.13093712572459</v>
      </c>
      <c r="D66" s="77">
        <v>132.80317805564917</v>
      </c>
      <c r="E66" s="203">
        <v>138.47483173506643</v>
      </c>
      <c r="F66" s="139">
        <v>148.43673917170645</v>
      </c>
      <c r="G66" s="139">
        <v>176.11053819981851</v>
      </c>
      <c r="H66" s="139">
        <v>113.562640808475</v>
      </c>
    </row>
    <row r="67" spans="1:8">
      <c r="A67" s="125" t="s">
        <v>85</v>
      </c>
      <c r="B67" s="204">
        <v>-63.632967164924111</v>
      </c>
      <c r="C67" s="82">
        <v>-65.923765765535975</v>
      </c>
      <c r="D67" s="82">
        <v>-68.043191923376057</v>
      </c>
      <c r="E67" s="205">
        <v>-75.540567894824719</v>
      </c>
      <c r="F67" s="216">
        <v>-79.705628361687545</v>
      </c>
      <c r="G67" s="216">
        <v>-80.600969296024346</v>
      </c>
      <c r="H67" s="216">
        <v>-146.90118543228812</v>
      </c>
    </row>
    <row r="68" spans="1:8">
      <c r="A68" s="125" t="s">
        <v>87</v>
      </c>
      <c r="B68" s="204">
        <v>-61.336065903669542</v>
      </c>
      <c r="C68" s="82">
        <v>-63.039053433969386</v>
      </c>
      <c r="D68" s="82">
        <v>-64.671978755249597</v>
      </c>
      <c r="E68" s="205">
        <v>-71.969032126368376</v>
      </c>
      <c r="F68" s="216">
        <v>-75.854120112618887</v>
      </c>
      <c r="G68" s="216">
        <v>-76.641224852725273</v>
      </c>
      <c r="H68" s="216">
        <v>-133.58743812465582</v>
      </c>
    </row>
    <row r="69" spans="1:8">
      <c r="A69" s="227" t="s">
        <v>89</v>
      </c>
      <c r="B69" s="204">
        <v>-34.200168430712111</v>
      </c>
      <c r="C69" s="82">
        <v>-34.722656766310777</v>
      </c>
      <c r="D69" s="82">
        <v>-36.362718092292489</v>
      </c>
      <c r="E69" s="205">
        <v>-42.236337716144739</v>
      </c>
      <c r="F69" s="216">
        <v>-43.009742899995167</v>
      </c>
      <c r="G69" s="216">
        <v>-42.145651512366335</v>
      </c>
      <c r="H69" s="216">
        <v>-75.607605587638503</v>
      </c>
    </row>
    <row r="70" spans="1:8">
      <c r="A70" s="227" t="s">
        <v>91</v>
      </c>
      <c r="B70" s="204">
        <v>-27.135897472957438</v>
      </c>
      <c r="C70" s="82">
        <v>-28.316396667658605</v>
      </c>
      <c r="D70" s="82">
        <v>-28.309260662957108</v>
      </c>
      <c r="E70" s="205">
        <v>-29.732694410223637</v>
      </c>
      <c r="F70" s="216">
        <v>-32.844377212623726</v>
      </c>
      <c r="G70" s="216">
        <v>-34.495573340358945</v>
      </c>
      <c r="H70" s="216">
        <v>-57.979832537017323</v>
      </c>
    </row>
    <row r="71" spans="1:8" ht="13.5" customHeight="1">
      <c r="A71" s="125" t="s">
        <v>93</v>
      </c>
      <c r="B71" s="204">
        <v>-2.2969012612545709</v>
      </c>
      <c r="C71" s="82">
        <v>-2.8847123315665879</v>
      </c>
      <c r="D71" s="82">
        <v>-3.3712131681264617</v>
      </c>
      <c r="E71" s="205">
        <v>-3.5715357684563411</v>
      </c>
      <c r="F71" s="216">
        <v>-3.8515082490686536</v>
      </c>
      <c r="G71" s="216">
        <v>-3.9597444432990709</v>
      </c>
      <c r="H71" s="216">
        <v>-13.313747307632276</v>
      </c>
    </row>
    <row r="72" spans="1:8" ht="14.25" customHeight="1">
      <c r="A72" s="139" t="s">
        <v>95</v>
      </c>
      <c r="B72" s="202">
        <v>36.968460974397672</v>
      </c>
      <c r="C72" s="77">
        <v>49.207171360188624</v>
      </c>
      <c r="D72" s="77">
        <v>64.759986132273099</v>
      </c>
      <c r="E72" s="203">
        <v>62.934263840241726</v>
      </c>
      <c r="F72" s="139">
        <v>68.73111081001889</v>
      </c>
      <c r="G72" s="139">
        <v>95.509568903794161</v>
      </c>
      <c r="H72" s="139">
        <v>-33.33854462381305</v>
      </c>
    </row>
    <row r="73" spans="1:8">
      <c r="A73" s="125" t="s">
        <v>97</v>
      </c>
      <c r="B73" s="204">
        <v>-6.1346823365481775</v>
      </c>
      <c r="C73" s="82">
        <v>-3.8168868242661791</v>
      </c>
      <c r="D73" s="82">
        <v>-6.1502219037716044</v>
      </c>
      <c r="E73" s="205">
        <v>3.5050727495311524</v>
      </c>
      <c r="F73" s="216">
        <v>-8.0515668876094626</v>
      </c>
      <c r="G73" s="216">
        <v>-12.896740906434552</v>
      </c>
      <c r="H73" s="216">
        <v>-26.753692205955986</v>
      </c>
    </row>
    <row r="74" spans="1:8" ht="16.5" customHeight="1">
      <c r="A74" s="125" t="s">
        <v>291</v>
      </c>
      <c r="B74" s="204">
        <v>-0.99366873325430383</v>
      </c>
      <c r="C74" s="82">
        <v>-2.6908025787946808</v>
      </c>
      <c r="D74" s="82">
        <v>-4.8291514459905729</v>
      </c>
      <c r="E74" s="205">
        <v>-7.0634880218334049</v>
      </c>
      <c r="F74" s="216">
        <v>-4.3211785766123176</v>
      </c>
      <c r="G74" s="216">
        <v>-4.7851245293655218</v>
      </c>
      <c r="H74" s="216">
        <v>-9.4596968940221551</v>
      </c>
    </row>
    <row r="75" spans="1:8" ht="12.75" customHeight="1">
      <c r="A75" s="139" t="s">
        <v>103</v>
      </c>
      <c r="B75" s="202">
        <v>29.840109904595192</v>
      </c>
      <c r="C75" s="77">
        <v>42.699481957127766</v>
      </c>
      <c r="D75" s="77">
        <v>53.780612782510921</v>
      </c>
      <c r="E75" s="203">
        <v>59.375848567939471</v>
      </c>
      <c r="F75" s="139">
        <v>56.358365345797111</v>
      </c>
      <c r="G75" s="139">
        <v>77.827703467994098</v>
      </c>
      <c r="H75" s="139">
        <v>-69.55193372379118</v>
      </c>
    </row>
    <row r="76" spans="1:8" ht="13.5" customHeight="1">
      <c r="A76" s="125" t="s">
        <v>105</v>
      </c>
      <c r="B76" s="204">
        <v>-10.00154187474997</v>
      </c>
      <c r="C76" s="82">
        <v>-12.203531880614268</v>
      </c>
      <c r="D76" s="82">
        <v>-18.272671275259544</v>
      </c>
      <c r="E76" s="205">
        <v>-23.10426422874702</v>
      </c>
      <c r="F76" s="216">
        <v>-16.607635309114134</v>
      </c>
      <c r="G76" s="216">
        <v>-23.800473414569346</v>
      </c>
      <c r="H76" s="216">
        <v>-26.145463606316522</v>
      </c>
    </row>
    <row r="77" spans="1:8" ht="12.75" customHeight="1">
      <c r="A77" s="139" t="s">
        <v>107</v>
      </c>
      <c r="B77" s="202">
        <v>19.83856802984522</v>
      </c>
      <c r="C77" s="77">
        <v>30.495950076513505</v>
      </c>
      <c r="D77" s="77">
        <v>35.507941507251374</v>
      </c>
      <c r="E77" s="203">
        <v>36.271584339192458</v>
      </c>
      <c r="F77" s="139">
        <v>39.75073003668296</v>
      </c>
      <c r="G77" s="139">
        <v>54.027230053424745</v>
      </c>
      <c r="H77" s="139">
        <v>-95.697397330107691</v>
      </c>
    </row>
    <row r="78" spans="1:8" ht="12.75" customHeight="1">
      <c r="A78" s="125" t="s">
        <v>109</v>
      </c>
      <c r="B78" s="204">
        <v>-4.2755723547833639</v>
      </c>
      <c r="C78" s="82">
        <v>-6.6811964130696868</v>
      </c>
      <c r="D78" s="82">
        <v>-10.382632672168686</v>
      </c>
      <c r="E78" s="205">
        <v>-11.097293796343944</v>
      </c>
      <c r="F78" s="216">
        <v>-12.283032613672647</v>
      </c>
      <c r="G78" s="216">
        <v>-17.50325444220374</v>
      </c>
      <c r="H78" s="216">
        <v>29.94191505587639</v>
      </c>
    </row>
    <row r="79" spans="1:8" ht="15" customHeight="1">
      <c r="A79" s="206" t="s">
        <v>111</v>
      </c>
      <c r="B79" s="207">
        <v>15.562995675061856</v>
      </c>
      <c r="C79" s="208">
        <v>23.81475366344381</v>
      </c>
      <c r="D79" s="208">
        <v>25.125308835082684</v>
      </c>
      <c r="E79" s="209">
        <v>25.174290542848507</v>
      </c>
      <c r="F79" s="206">
        <v>27.467697423010321</v>
      </c>
      <c r="G79" s="206">
        <v>36.523975611221005</v>
      </c>
      <c r="H79" s="206">
        <v>-65.755482274231298</v>
      </c>
    </row>
    <row r="80" spans="1:8" s="86" customFormat="1" ht="15" customHeight="1">
      <c r="A80" s="215"/>
      <c r="B80" s="77"/>
      <c r="C80" s="77"/>
      <c r="D80" s="77"/>
      <c r="E80" s="77"/>
      <c r="F80" s="139"/>
      <c r="G80" s="139"/>
      <c r="H80" s="139"/>
    </row>
    <row r="81" spans="1:8" s="86" customFormat="1" ht="15" customHeight="1">
      <c r="A81" s="139"/>
      <c r="B81" s="77"/>
      <c r="C81" s="77"/>
      <c r="D81" s="77"/>
      <c r="E81" s="77"/>
      <c r="F81" s="139"/>
      <c r="G81" s="139"/>
      <c r="H81" s="139"/>
    </row>
    <row r="82" spans="1:8" ht="17.25" customHeight="1">
      <c r="A82" s="233" t="s">
        <v>181</v>
      </c>
      <c r="B82" s="234"/>
      <c r="C82" s="234"/>
      <c r="D82" s="234"/>
      <c r="E82" s="234"/>
      <c r="F82" s="234"/>
      <c r="G82" s="235"/>
      <c r="H82" s="235"/>
    </row>
    <row r="83" spans="1:8">
      <c r="A83" s="68" t="s">
        <v>57</v>
      </c>
      <c r="B83" s="72"/>
      <c r="C83" s="72"/>
      <c r="D83" s="72"/>
      <c r="E83" s="72"/>
      <c r="F83" s="72"/>
      <c r="G83" s="72"/>
      <c r="H83" s="72"/>
    </row>
    <row r="84" spans="1:8" ht="15.75">
      <c r="A84" s="72"/>
      <c r="B84" s="59">
        <v>42825</v>
      </c>
      <c r="C84" s="59">
        <v>42916</v>
      </c>
      <c r="D84" s="59">
        <v>43008</v>
      </c>
      <c r="E84" s="59">
        <v>43100</v>
      </c>
      <c r="F84" s="59">
        <v>43190</v>
      </c>
      <c r="G84" s="59">
        <v>43281</v>
      </c>
      <c r="H84" s="59">
        <v>43373</v>
      </c>
    </row>
    <row r="85" spans="1:8" s="86" customFormat="1">
      <c r="A85" s="125" t="s">
        <v>120</v>
      </c>
      <c r="B85" s="204">
        <v>898.58667821333904</v>
      </c>
      <c r="C85" s="82">
        <v>809.0395517688878</v>
      </c>
      <c r="D85" s="82">
        <v>609.18251082968902</v>
      </c>
      <c r="E85" s="205">
        <v>823.32691203902357</v>
      </c>
      <c r="F85" s="204">
        <v>807.25109103544139</v>
      </c>
      <c r="G85" s="82">
        <v>1192.345817780948</v>
      </c>
      <c r="H85" s="82">
        <v>1920.4470000000003</v>
      </c>
    </row>
    <row r="86" spans="1:8" s="86" customFormat="1">
      <c r="A86" s="125" t="s">
        <v>192</v>
      </c>
      <c r="B86" s="204">
        <v>313.1250641597656</v>
      </c>
      <c r="C86" s="82">
        <v>496.47921954522377</v>
      </c>
      <c r="D86" s="82">
        <v>490.85760805853226</v>
      </c>
      <c r="E86" s="205">
        <v>508.56401671145642</v>
      </c>
      <c r="F86" s="204">
        <v>462.2858782884939</v>
      </c>
      <c r="G86" s="82">
        <v>571.51299370987613</v>
      </c>
      <c r="H86" s="82">
        <v>735.25</v>
      </c>
    </row>
    <row r="87" spans="1:8" s="86" customFormat="1">
      <c r="A87" s="125" t="s">
        <v>705</v>
      </c>
      <c r="B87" s="204">
        <v>2117.9783040221268</v>
      </c>
      <c r="C87" s="82">
        <v>2120.6328215313438</v>
      </c>
      <c r="D87" s="82">
        <v>2653.7943779302341</v>
      </c>
      <c r="E87" s="205">
        <v>3089.4729154215447</v>
      </c>
      <c r="F87" s="204">
        <v>3326.2012721135716</v>
      </c>
      <c r="G87" s="82">
        <v>3820.2168549380713</v>
      </c>
      <c r="H87" s="82">
        <v>4295.472999999999</v>
      </c>
    </row>
    <row r="88" spans="1:8" s="86" customFormat="1">
      <c r="A88" s="125" t="s">
        <v>195</v>
      </c>
      <c r="B88" s="204">
        <v>1684.8638353611352</v>
      </c>
      <c r="C88" s="82">
        <v>1890.4483137166396</v>
      </c>
      <c r="D88" s="82">
        <v>2389.8525252140039</v>
      </c>
      <c r="E88" s="205">
        <v>2847.2471889926005</v>
      </c>
      <c r="F88" s="204">
        <v>3093.0777015784779</v>
      </c>
      <c r="G88" s="82">
        <v>3570.029233901822</v>
      </c>
      <c r="H88" s="82">
        <v>3911.4229999999989</v>
      </c>
    </row>
    <row r="89" spans="1:8" s="86" customFormat="1">
      <c r="A89" s="125" t="s">
        <v>140</v>
      </c>
      <c r="B89" s="204">
        <v>92.145282470900071</v>
      </c>
      <c r="C89" s="82">
        <v>94.92575794165775</v>
      </c>
      <c r="D89" s="82">
        <v>100.93639065641391</v>
      </c>
      <c r="E89" s="205">
        <v>108.79020004064948</v>
      </c>
      <c r="F89" s="204">
        <v>107.39091928918893</v>
      </c>
      <c r="G89" s="82">
        <v>111.44387471629597</v>
      </c>
      <c r="H89" s="82">
        <v>313.68299999999999</v>
      </c>
    </row>
    <row r="90" spans="1:8" s="86" customFormat="1">
      <c r="A90" s="125" t="s">
        <v>144</v>
      </c>
      <c r="B90" s="204">
        <v>79.689751226552971</v>
      </c>
      <c r="C90" s="82">
        <v>91.234673587993015</v>
      </c>
      <c r="D90" s="82">
        <v>88.792392646174903</v>
      </c>
      <c r="E90" s="205">
        <v>92.88040107495317</v>
      </c>
      <c r="F90" s="204">
        <v>101.62321215129555</v>
      </c>
      <c r="G90" s="82">
        <v>117.68718734193631</v>
      </c>
      <c r="H90" s="82">
        <v>137.42699999999999</v>
      </c>
    </row>
    <row r="91" spans="1:8">
      <c r="A91" s="206" t="s">
        <v>201</v>
      </c>
      <c r="B91" s="207">
        <v>3501.5250800926842</v>
      </c>
      <c r="C91" s="208">
        <v>3612.3120243751059</v>
      </c>
      <c r="D91" s="208">
        <v>3943.5632801210445</v>
      </c>
      <c r="E91" s="208">
        <v>4623.034445287627</v>
      </c>
      <c r="F91" s="207">
        <v>4804.7523728779915</v>
      </c>
      <c r="G91" s="208">
        <v>5813.2067284871264</v>
      </c>
      <c r="H91" s="208">
        <v>7403.115802289999</v>
      </c>
    </row>
    <row r="92" spans="1:8">
      <c r="A92" s="125" t="s">
        <v>207</v>
      </c>
      <c r="B92" s="204">
        <v>4.9815751988014281</v>
      </c>
      <c r="C92" s="82">
        <v>7.6227306889352819</v>
      </c>
      <c r="D92" s="82">
        <v>9.2894923207660618</v>
      </c>
      <c r="E92" s="205">
        <v>13.270180528895011</v>
      </c>
      <c r="F92" s="204">
        <v>16.754513650352425</v>
      </c>
      <c r="G92" s="82">
        <v>53.119552817586403</v>
      </c>
      <c r="H92" s="82">
        <v>127.83</v>
      </c>
    </row>
    <row r="93" spans="1:8" s="86" customFormat="1">
      <c r="A93" s="125" t="s">
        <v>203</v>
      </c>
      <c r="B93" s="204">
        <v>18.428480547918141</v>
      </c>
      <c r="C93" s="82">
        <v>18.663497601986119</v>
      </c>
      <c r="D93" s="82">
        <v>53.492865628951044</v>
      </c>
      <c r="E93" s="205">
        <v>62.824005058603014</v>
      </c>
      <c r="F93" s="204">
        <v>68.990546411198252</v>
      </c>
      <c r="G93" s="82">
        <v>193.65824265611829</v>
      </c>
      <c r="H93" s="82">
        <v>177.44499999999999</v>
      </c>
    </row>
    <row r="94" spans="1:8" s="86" customFormat="1">
      <c r="A94" s="125" t="s">
        <v>205</v>
      </c>
      <c r="B94" s="204">
        <v>2680.5428144684633</v>
      </c>
      <c r="C94" s="82">
        <v>2739.9174934266216</v>
      </c>
      <c r="D94" s="82">
        <v>2836.2108412129246</v>
      </c>
      <c r="E94" s="205">
        <v>3364.5857397981085</v>
      </c>
      <c r="F94" s="204">
        <v>3494.7752516628607</v>
      </c>
      <c r="G94" s="82">
        <v>4207.5822545879</v>
      </c>
      <c r="H94" s="82">
        <v>5400.5920000000006</v>
      </c>
    </row>
    <row r="95" spans="1:8" s="86" customFormat="1">
      <c r="A95" s="125" t="s">
        <v>209</v>
      </c>
      <c r="B95" s="204">
        <v>35.12228294835279</v>
      </c>
      <c r="C95" s="82">
        <v>30.396342831349106</v>
      </c>
      <c r="D95" s="82">
        <v>22.561878831844467</v>
      </c>
      <c r="E95" s="205">
        <v>42.571130191278435</v>
      </c>
      <c r="F95" s="204">
        <v>37.898974684800947</v>
      </c>
      <c r="G95" s="82">
        <v>36.202281045327794</v>
      </c>
      <c r="H95" s="82">
        <v>35.957999999999998</v>
      </c>
    </row>
    <row r="96" spans="1:8" s="86" customFormat="1">
      <c r="A96" s="125" t="s">
        <v>166</v>
      </c>
      <c r="B96" s="204">
        <v>574.7062509766306</v>
      </c>
      <c r="C96" s="82">
        <v>611.83309797212632</v>
      </c>
      <c r="D96" s="82">
        <v>800.33988330621935</v>
      </c>
      <c r="E96" s="205">
        <v>876.37571468468934</v>
      </c>
      <c r="F96" s="204">
        <v>895.72632177861487</v>
      </c>
      <c r="G96" s="82">
        <v>948.9443167369152</v>
      </c>
      <c r="H96" s="82">
        <v>1268.9288326799988</v>
      </c>
    </row>
    <row r="97" spans="1:8" s="86" customFormat="1" ht="12" customHeight="1">
      <c r="A97" s="125" t="s">
        <v>214</v>
      </c>
      <c r="B97" s="204">
        <v>187.74367595251817</v>
      </c>
      <c r="C97" s="82">
        <v>203.878861854088</v>
      </c>
      <c r="D97" s="82">
        <v>221.66831882034046</v>
      </c>
      <c r="E97" s="205">
        <v>263.40767502605286</v>
      </c>
      <c r="F97" s="204">
        <v>290.6067646901617</v>
      </c>
      <c r="G97" s="82">
        <v>373.70008064327857</v>
      </c>
      <c r="H97" s="82">
        <v>392.36196961000002</v>
      </c>
    </row>
    <row r="98" spans="1:8" ht="12" customHeight="1">
      <c r="A98" s="215"/>
      <c r="B98" s="69"/>
      <c r="C98" s="82"/>
      <c r="D98" s="82"/>
      <c r="E98" s="82"/>
      <c r="F98" s="82"/>
      <c r="G98" s="82"/>
      <c r="H98" s="82"/>
    </row>
    <row r="99" spans="1:8" ht="12" customHeight="1">
      <c r="A99" s="125"/>
      <c r="B99" s="69"/>
      <c r="C99" s="82"/>
      <c r="D99" s="82"/>
      <c r="E99" s="82"/>
      <c r="F99" s="82"/>
      <c r="G99" s="82"/>
      <c r="H99" s="82"/>
    </row>
    <row r="100" spans="1:8" ht="18">
      <c r="A100" s="233" t="s">
        <v>216</v>
      </c>
      <c r="B100" s="234"/>
      <c r="C100" s="234"/>
      <c r="D100" s="234"/>
      <c r="E100" s="234"/>
      <c r="F100" s="234"/>
      <c r="G100" s="235"/>
      <c r="H100" s="235"/>
    </row>
    <row r="101" spans="1:8">
      <c r="A101" s="68" t="s">
        <v>57</v>
      </c>
      <c r="B101" s="72"/>
      <c r="C101" s="72"/>
      <c r="D101" s="72"/>
      <c r="E101" s="72"/>
      <c r="F101" s="72"/>
      <c r="G101" s="72"/>
      <c r="H101" s="72"/>
    </row>
    <row r="102" spans="1:8" ht="15.75">
      <c r="A102" s="72"/>
      <c r="B102" s="59">
        <v>42825</v>
      </c>
      <c r="C102" s="59">
        <v>42916</v>
      </c>
      <c r="D102" s="59">
        <v>43008</v>
      </c>
      <c r="E102" s="59">
        <v>43100</v>
      </c>
      <c r="F102" s="59">
        <v>43190</v>
      </c>
      <c r="G102" s="59">
        <v>43281</v>
      </c>
      <c r="H102" s="59">
        <v>43373</v>
      </c>
    </row>
    <row r="103" spans="1:8">
      <c r="A103" s="125" t="s">
        <v>218</v>
      </c>
      <c r="B103" s="214">
        <v>1739.0592987042919</v>
      </c>
      <c r="C103" s="69">
        <v>1944.6866106189698</v>
      </c>
      <c r="D103" s="69">
        <v>2445.2151623106106</v>
      </c>
      <c r="E103" s="69">
        <v>2891.3529121695847</v>
      </c>
      <c r="F103" s="214">
        <v>3036.6393129907351</v>
      </c>
      <c r="G103" s="69">
        <v>3631.2685667596133</v>
      </c>
      <c r="H103" s="69">
        <v>3988.0650000000005</v>
      </c>
    </row>
    <row r="104" spans="1:8">
      <c r="A104" s="125" t="s">
        <v>549</v>
      </c>
      <c r="B104" s="214">
        <v>2661.1091844770704</v>
      </c>
      <c r="C104" s="69">
        <v>2719.9609720441422</v>
      </c>
      <c r="D104" s="69">
        <v>2811.8866044987863</v>
      </c>
      <c r="E104" s="69">
        <v>3341.7556773854963</v>
      </c>
      <c r="F104" s="214">
        <v>3492.5589804639494</v>
      </c>
      <c r="G104" s="69">
        <v>4206.8764863692677</v>
      </c>
      <c r="H104" s="69">
        <v>5404.8782923999997</v>
      </c>
    </row>
    <row r="105" spans="1:8">
      <c r="A105" s="125" t="s">
        <v>226</v>
      </c>
      <c r="B105" s="214">
        <v>529.9818031956562</v>
      </c>
      <c r="C105" s="69">
        <v>572.24306480345763</v>
      </c>
      <c r="D105" s="69">
        <v>579.11441360880303</v>
      </c>
      <c r="E105" s="69">
        <v>618.80820078262195</v>
      </c>
      <c r="F105" s="214">
        <v>957.88664153681941</v>
      </c>
      <c r="G105" s="82">
        <v>850.26709710496061</v>
      </c>
      <c r="H105" s="69">
        <v>782.59874320999995</v>
      </c>
    </row>
    <row r="106" spans="1:8">
      <c r="A106" s="125" t="s">
        <v>377</v>
      </c>
      <c r="B106" s="213">
        <v>0</v>
      </c>
      <c r="C106" s="82">
        <v>0</v>
      </c>
      <c r="D106" s="82">
        <v>0</v>
      </c>
      <c r="E106" s="82">
        <v>0</v>
      </c>
      <c r="F106" s="213">
        <v>0</v>
      </c>
      <c r="G106" s="82" t="s">
        <v>744</v>
      </c>
      <c r="H106" s="82" t="s">
        <v>744</v>
      </c>
    </row>
    <row r="107" spans="1:8">
      <c r="A107" s="125" t="s">
        <v>540</v>
      </c>
      <c r="B107" s="213">
        <v>0</v>
      </c>
      <c r="C107" s="82">
        <v>0</v>
      </c>
      <c r="D107" s="82">
        <v>0</v>
      </c>
      <c r="E107" s="82">
        <v>0</v>
      </c>
      <c r="F107" s="213">
        <v>0</v>
      </c>
      <c r="G107" s="82" t="s">
        <v>744</v>
      </c>
      <c r="H107" s="82" t="s">
        <v>744</v>
      </c>
    </row>
    <row r="108" spans="1:8">
      <c r="A108" s="215" t="s">
        <v>538</v>
      </c>
      <c r="B108" s="212"/>
      <c r="C108" s="216"/>
      <c r="D108" s="216"/>
      <c r="E108" s="216"/>
      <c r="F108" s="216"/>
      <c r="G108" s="72"/>
      <c r="H108" s="72"/>
    </row>
    <row r="109" spans="1:8">
      <c r="A109" s="215" t="s">
        <v>500</v>
      </c>
      <c r="B109" s="212"/>
      <c r="C109" s="216"/>
      <c r="D109" s="216"/>
      <c r="E109" s="216"/>
      <c r="F109" s="216"/>
      <c r="G109" s="72"/>
      <c r="H109" s="72"/>
    </row>
    <row r="110" spans="1:8">
      <c r="A110" s="215"/>
      <c r="B110" s="212"/>
      <c r="C110" s="216"/>
      <c r="D110" s="216"/>
      <c r="E110" s="216"/>
      <c r="F110" s="216"/>
      <c r="G110" s="72"/>
      <c r="H110" s="72"/>
    </row>
    <row r="111" spans="1:8" s="229" customFormat="1" ht="18">
      <c r="A111" s="233" t="s">
        <v>179</v>
      </c>
      <c r="B111" s="234"/>
      <c r="C111" s="234"/>
      <c r="D111" s="234"/>
      <c r="E111" s="234"/>
      <c r="F111" s="234"/>
      <c r="G111" s="235"/>
      <c r="H111" s="235"/>
    </row>
    <row r="112" spans="1:8" ht="15.75" customHeight="1">
      <c r="A112" s="68" t="s">
        <v>577</v>
      </c>
      <c r="B112" s="72"/>
      <c r="C112" s="72"/>
      <c r="D112" s="72"/>
      <c r="E112" s="72"/>
      <c r="F112" s="72"/>
      <c r="G112" s="72"/>
      <c r="H112" s="72"/>
    </row>
    <row r="113" spans="1:8" ht="15.75" customHeight="1">
      <c r="A113" s="201"/>
      <c r="B113" s="72"/>
      <c r="C113" s="200"/>
      <c r="D113" s="200"/>
      <c r="E113" s="200"/>
      <c r="F113" s="72"/>
      <c r="G113" s="212"/>
      <c r="H113" s="212"/>
    </row>
    <row r="114" spans="1:8" ht="15.75">
      <c r="A114" s="73"/>
      <c r="B114" s="315">
        <v>2017</v>
      </c>
      <c r="C114" s="316"/>
      <c r="D114" s="316"/>
      <c r="E114" s="316"/>
      <c r="F114" s="315">
        <v>2018</v>
      </c>
      <c r="G114" s="316"/>
      <c r="H114" s="316"/>
    </row>
    <row r="115" spans="1:8" ht="15.75">
      <c r="A115" s="73"/>
      <c r="B115" s="93" t="s">
        <v>751</v>
      </c>
      <c r="C115" s="93" t="s">
        <v>65</v>
      </c>
      <c r="D115" s="93" t="s">
        <v>752</v>
      </c>
      <c r="E115" s="93" t="s">
        <v>69</v>
      </c>
      <c r="F115" s="93" t="s">
        <v>751</v>
      </c>
      <c r="G115" s="93" t="s">
        <v>65</v>
      </c>
      <c r="H115" s="93" t="s">
        <v>752</v>
      </c>
    </row>
    <row r="116" spans="1:8">
      <c r="A116" s="139" t="s">
        <v>71</v>
      </c>
      <c r="B116" s="202">
        <v>2937.7723548661779</v>
      </c>
      <c r="C116" s="77">
        <v>3280.6305567759673</v>
      </c>
      <c r="D116" s="77">
        <v>3746.0662530321997</v>
      </c>
      <c r="E116" s="203">
        <v>4112.2471446063228</v>
      </c>
      <c r="F116" s="139">
        <v>4363.6847452706943</v>
      </c>
      <c r="G116" s="139">
        <v>5271.1677598018832</v>
      </c>
      <c r="H116" s="139">
        <v>8962.4764374813894</v>
      </c>
    </row>
    <row r="117" spans="1:8">
      <c r="A117" s="125" t="s">
        <v>73</v>
      </c>
      <c r="B117" s="204">
        <v>830.54782428664464</v>
      </c>
      <c r="C117" s="82">
        <v>929.73792773308514</v>
      </c>
      <c r="D117" s="82">
        <v>1127.8001559350632</v>
      </c>
      <c r="E117" s="205">
        <v>1049.7779403466557</v>
      </c>
      <c r="F117" s="216">
        <v>1090.7397551889303</v>
      </c>
      <c r="G117" s="216">
        <v>1144.7287022274377</v>
      </c>
      <c r="H117" s="216">
        <v>2002.9982202272481</v>
      </c>
    </row>
    <row r="118" spans="1:8">
      <c r="A118" s="125" t="s">
        <v>75</v>
      </c>
      <c r="B118" s="204">
        <v>495.91502930225568</v>
      </c>
      <c r="C118" s="82">
        <v>562.1683175809826</v>
      </c>
      <c r="D118" s="82">
        <v>732.66975733323659</v>
      </c>
      <c r="E118" s="205">
        <v>856.55875997434771</v>
      </c>
      <c r="F118" s="216">
        <v>972.19374425468072</v>
      </c>
      <c r="G118" s="216">
        <v>1134.5582717694597</v>
      </c>
      <c r="H118" s="216">
        <v>2123.2645747186325</v>
      </c>
    </row>
    <row r="119" spans="1:8">
      <c r="A119" s="125" t="s">
        <v>182</v>
      </c>
      <c r="B119" s="204">
        <v>337.00098525704169</v>
      </c>
      <c r="C119" s="82">
        <v>493.23968554829889</v>
      </c>
      <c r="D119" s="82">
        <v>467.52064195275562</v>
      </c>
      <c r="E119" s="205">
        <v>314.87900427988467</v>
      </c>
      <c r="F119" s="216">
        <v>362.47520441240511</v>
      </c>
      <c r="G119" s="216">
        <v>504.36314947136805</v>
      </c>
      <c r="H119" s="216">
        <v>-7894.6923604699432</v>
      </c>
    </row>
    <row r="120" spans="1:8">
      <c r="A120" s="139" t="s">
        <v>83</v>
      </c>
      <c r="B120" s="202">
        <v>4601.2361937121195</v>
      </c>
      <c r="C120" s="77">
        <v>5265.7764876383344</v>
      </c>
      <c r="D120" s="77">
        <v>6074.0568082532554</v>
      </c>
      <c r="E120" s="203">
        <v>6333.4628492072106</v>
      </c>
      <c r="F120" s="139">
        <v>6789.0934491267117</v>
      </c>
      <c r="G120" s="139">
        <v>8054.8178832701487</v>
      </c>
      <c r="H120" s="139">
        <v>5194.0468719573273</v>
      </c>
    </row>
    <row r="121" spans="1:8">
      <c r="A121" s="125" t="s">
        <v>85</v>
      </c>
      <c r="B121" s="204">
        <v>-2910.3991568296797</v>
      </c>
      <c r="C121" s="82">
        <v>-3015.1740653830934</v>
      </c>
      <c r="D121" s="82">
        <v>-3112.1108636743534</v>
      </c>
      <c r="E121" s="205">
        <v>-3455.0204854932626</v>
      </c>
      <c r="F121" s="216">
        <v>-3645.5190432531808</v>
      </c>
      <c r="G121" s="216">
        <v>-3686.4695067702314</v>
      </c>
      <c r="H121" s="216">
        <v>-6718.8613900607434</v>
      </c>
    </row>
    <row r="122" spans="1:8">
      <c r="A122" s="125" t="s">
        <v>87</v>
      </c>
      <c r="B122" s="204">
        <v>-2805.3451291469787</v>
      </c>
      <c r="C122" s="82">
        <v>-2883.2351552309447</v>
      </c>
      <c r="D122" s="82">
        <v>-2957.9207260908161</v>
      </c>
      <c r="E122" s="205">
        <v>-3291.6681360395332</v>
      </c>
      <c r="F122" s="216">
        <v>-3469.3615126517971</v>
      </c>
      <c r="G122" s="216">
        <v>-3505.3615465022535</v>
      </c>
      <c r="H122" s="216">
        <v>-6109.9267345707922</v>
      </c>
    </row>
    <row r="123" spans="1:8">
      <c r="A123" s="227" t="s">
        <v>89</v>
      </c>
      <c r="B123" s="204">
        <v>-1564.2228517522917</v>
      </c>
      <c r="C123" s="82">
        <v>-1588.1200496849056</v>
      </c>
      <c r="D123" s="82">
        <v>-1663.1320020258186</v>
      </c>
      <c r="E123" s="205">
        <v>-1931.7754169477098</v>
      </c>
      <c r="F123" s="216">
        <v>-1967.1488702888382</v>
      </c>
      <c r="G123" s="216">
        <v>-1927.6276761967765</v>
      </c>
      <c r="H123" s="216">
        <v>-3458.08660755756</v>
      </c>
    </row>
    <row r="124" spans="1:8">
      <c r="A124" s="227" t="s">
        <v>91</v>
      </c>
      <c r="B124" s="204">
        <v>-1241.122277394687</v>
      </c>
      <c r="C124" s="82">
        <v>-1295.1151055460391</v>
      </c>
      <c r="D124" s="82">
        <v>-1294.788724064997</v>
      </c>
      <c r="E124" s="205">
        <v>-1359.8927190918232</v>
      </c>
      <c r="F124" s="216">
        <v>-1502.2126423629588</v>
      </c>
      <c r="G124" s="216">
        <v>-1577.7338703054766</v>
      </c>
      <c r="H124" s="216">
        <v>-2651.8401270132326</v>
      </c>
    </row>
    <row r="125" spans="1:8">
      <c r="A125" s="125" t="s">
        <v>93</v>
      </c>
      <c r="B125" s="204">
        <v>-105.05402768270082</v>
      </c>
      <c r="C125" s="82">
        <v>-131.93891015214908</v>
      </c>
      <c r="D125" s="82">
        <v>-154.19013758353742</v>
      </c>
      <c r="E125" s="205">
        <v>-163.35234945372946</v>
      </c>
      <c r="F125" s="216">
        <v>-176.15753060138371</v>
      </c>
      <c r="G125" s="216">
        <v>-181.10796026797794</v>
      </c>
      <c r="H125" s="216">
        <v>-608.93465548995039</v>
      </c>
    </row>
    <row r="126" spans="1:8">
      <c r="A126" s="139" t="s">
        <v>95</v>
      </c>
      <c r="B126" s="202">
        <v>1690.8370368824408</v>
      </c>
      <c r="C126" s="77">
        <v>2250.602422255241</v>
      </c>
      <c r="D126" s="77">
        <v>2961.9459445789025</v>
      </c>
      <c r="E126" s="203">
        <v>2878.442363713948</v>
      </c>
      <c r="F126" s="139">
        <v>3143.5744058735304</v>
      </c>
      <c r="G126" s="139">
        <v>4368.3483764999173</v>
      </c>
      <c r="H126" s="139">
        <v>-1524.8145181034151</v>
      </c>
    </row>
    <row r="127" spans="1:8">
      <c r="A127" s="125" t="s">
        <v>97</v>
      </c>
      <c r="B127" s="204">
        <v>-280.58371462441357</v>
      </c>
      <c r="C127" s="82">
        <v>-174.57404062688337</v>
      </c>
      <c r="D127" s="82">
        <v>-281.2944522398281</v>
      </c>
      <c r="E127" s="205">
        <v>160.31251141287737</v>
      </c>
      <c r="F127" s="216">
        <v>-368.25680971503226</v>
      </c>
      <c r="G127" s="216">
        <v>-589.86191485705046</v>
      </c>
      <c r="H127" s="216">
        <v>-1223.6412461560546</v>
      </c>
    </row>
    <row r="128" spans="1:8">
      <c r="A128" s="125" t="s">
        <v>291</v>
      </c>
      <c r="B128" s="204">
        <v>-45.447710082981317</v>
      </c>
      <c r="C128" s="82">
        <v>-123.07000451860046</v>
      </c>
      <c r="D128" s="82">
        <v>-220.8722761612959</v>
      </c>
      <c r="E128" s="205">
        <v>-323.06476499420984</v>
      </c>
      <c r="F128" s="216">
        <v>-197.63897624461757</v>
      </c>
      <c r="G128" s="216">
        <v>-218.85860452641413</v>
      </c>
      <c r="H128" s="216">
        <v>-432.66085318432857</v>
      </c>
    </row>
    <row r="129" spans="1:8">
      <c r="A129" s="139" t="s">
        <v>103</v>
      </c>
      <c r="B129" s="202">
        <v>1364.8056121750458</v>
      </c>
      <c r="C129" s="77">
        <v>1952.9583771097568</v>
      </c>
      <c r="D129" s="77">
        <v>2459.7792161777784</v>
      </c>
      <c r="E129" s="203">
        <v>2715.6901101326157</v>
      </c>
      <c r="F129" s="139">
        <v>2577.6786199138801</v>
      </c>
      <c r="G129" s="139">
        <v>3559.627857116453</v>
      </c>
      <c r="H129" s="139">
        <v>-3181.1166174437967</v>
      </c>
    </row>
    <row r="130" spans="1:8">
      <c r="A130" s="125" t="s">
        <v>105</v>
      </c>
      <c r="B130" s="204">
        <v>-457.44337151253069</v>
      </c>
      <c r="C130" s="82">
        <v>-558.15641605443921</v>
      </c>
      <c r="D130" s="82">
        <v>-835.74237446302368</v>
      </c>
      <c r="E130" s="205">
        <v>-1056.7263185486192</v>
      </c>
      <c r="F130" s="216">
        <v>-759.58814988630297</v>
      </c>
      <c r="G130" s="216">
        <v>-1088.5690365243936</v>
      </c>
      <c r="H130" s="216">
        <v>-1195.8225213280518</v>
      </c>
    </row>
    <row r="131" spans="1:8">
      <c r="A131" s="139" t="s">
        <v>107</v>
      </c>
      <c r="B131" s="202">
        <v>907.36224066251498</v>
      </c>
      <c r="C131" s="77">
        <v>1394.801961055317</v>
      </c>
      <c r="D131" s="77">
        <v>1624.0368417147547</v>
      </c>
      <c r="E131" s="203">
        <v>1658.9637915839967</v>
      </c>
      <c r="F131" s="139">
        <v>1818.0904700275769</v>
      </c>
      <c r="G131" s="139">
        <v>2471.058820592059</v>
      </c>
      <c r="H131" s="139">
        <v>-4376.9391387718497</v>
      </c>
    </row>
    <row r="132" spans="1:8">
      <c r="A132" s="125" t="s">
        <v>109</v>
      </c>
      <c r="B132" s="204">
        <v>-195.55307147746817</v>
      </c>
      <c r="C132" s="82">
        <v>-305.57978471778642</v>
      </c>
      <c r="D132" s="82">
        <v>-474.87342993819459</v>
      </c>
      <c r="E132" s="205">
        <v>-507.56008947786069</v>
      </c>
      <c r="F132" s="216">
        <v>-561.79256374280317</v>
      </c>
      <c r="G132" s="216">
        <v>-800.55133745900753</v>
      </c>
      <c r="H132" s="216">
        <v>1369.4619033972006</v>
      </c>
    </row>
    <row r="133" spans="1:8">
      <c r="A133" s="206" t="s">
        <v>111</v>
      </c>
      <c r="B133" s="207">
        <v>711.80916918504693</v>
      </c>
      <c r="C133" s="208">
        <v>1089.222176337531</v>
      </c>
      <c r="D133" s="208">
        <v>1149.16341177656</v>
      </c>
      <c r="E133" s="209">
        <v>1151.4037021061358</v>
      </c>
      <c r="F133" s="206">
        <v>1256.2979062847735</v>
      </c>
      <c r="G133" s="206">
        <v>1670.5074831330519</v>
      </c>
      <c r="H133" s="206">
        <v>-3007.4772353746484</v>
      </c>
    </row>
    <row r="134" spans="1:8">
      <c r="A134" s="215"/>
      <c r="B134" s="77"/>
      <c r="C134" s="77"/>
      <c r="D134" s="77"/>
      <c r="E134" s="77"/>
      <c r="F134" s="139"/>
      <c r="G134" s="139"/>
      <c r="H134" s="139"/>
    </row>
    <row r="135" spans="1:8">
      <c r="A135" s="139"/>
      <c r="B135" s="77"/>
      <c r="C135" s="77"/>
      <c r="D135" s="77"/>
      <c r="E135" s="77"/>
      <c r="F135" s="139"/>
      <c r="G135" s="139"/>
      <c r="H135" s="139"/>
    </row>
    <row r="136" spans="1:8" ht="18">
      <c r="A136" s="233" t="s">
        <v>181</v>
      </c>
      <c r="B136" s="234"/>
      <c r="C136" s="234"/>
      <c r="D136" s="234"/>
      <c r="E136" s="234"/>
      <c r="F136" s="234"/>
      <c r="G136" s="235"/>
      <c r="H136" s="235"/>
    </row>
    <row r="137" spans="1:8">
      <c r="A137" s="68" t="s">
        <v>577</v>
      </c>
      <c r="B137" s="72"/>
      <c r="C137" s="72"/>
      <c r="D137" s="72"/>
      <c r="E137" s="72"/>
      <c r="F137" s="72"/>
      <c r="G137" s="72"/>
      <c r="H137" s="72"/>
    </row>
    <row r="138" spans="1:8" ht="15.75">
      <c r="A138" s="72"/>
      <c r="B138" s="59">
        <v>42825</v>
      </c>
      <c r="C138" s="59">
        <v>42916</v>
      </c>
      <c r="D138" s="59">
        <v>43008</v>
      </c>
      <c r="E138" s="59">
        <v>43100</v>
      </c>
      <c r="F138" s="59">
        <v>43190</v>
      </c>
      <c r="G138" s="59">
        <v>43281</v>
      </c>
      <c r="H138" s="59">
        <v>43373</v>
      </c>
    </row>
    <row r="139" spans="1:8" s="86" customFormat="1">
      <c r="A139" s="125" t="s">
        <v>120</v>
      </c>
      <c r="B139" s="204">
        <v>41098.915029881951</v>
      </c>
      <c r="C139" s="82">
        <v>37003.272583648359</v>
      </c>
      <c r="D139" s="82">
        <v>27862.35413600846</v>
      </c>
      <c r="E139" s="205">
        <v>37656.737652717871</v>
      </c>
      <c r="F139" s="228">
        <v>36921.473245309244</v>
      </c>
      <c r="G139" s="82">
        <v>54534.660527851629</v>
      </c>
      <c r="H139" s="82">
        <v>87836.031833150366</v>
      </c>
    </row>
    <row r="140" spans="1:8" s="86" customFormat="1">
      <c r="A140" s="125" t="s">
        <v>192</v>
      </c>
      <c r="B140" s="204">
        <v>14321.490311002817</v>
      </c>
      <c r="C140" s="82">
        <v>22707.611578175252</v>
      </c>
      <c r="D140" s="82">
        <v>22450.494331253762</v>
      </c>
      <c r="E140" s="205">
        <v>23260.337390754499</v>
      </c>
      <c r="F140" s="228">
        <v>21143.700982825369</v>
      </c>
      <c r="G140" s="82">
        <v>26139.452694377793</v>
      </c>
      <c r="H140" s="82">
        <v>33628.338821807534</v>
      </c>
    </row>
    <row r="141" spans="1:8" s="86" customFormat="1">
      <c r="A141" s="125" t="s">
        <v>705</v>
      </c>
      <c r="B141" s="204">
        <v>96870.577388498292</v>
      </c>
      <c r="C141" s="82">
        <v>96991.987812447114</v>
      </c>
      <c r="D141" s="82">
        <v>121377.3498870396</v>
      </c>
      <c r="E141" s="205">
        <v>141304.10333980719</v>
      </c>
      <c r="F141" s="228">
        <v>152131.41566564084</v>
      </c>
      <c r="G141" s="82">
        <v>174726.34718889822</v>
      </c>
      <c r="H141" s="82">
        <v>196463.27296011712</v>
      </c>
    </row>
    <row r="142" spans="1:8" s="86" customFormat="1">
      <c r="A142" s="125" t="s">
        <v>195</v>
      </c>
      <c r="B142" s="204">
        <v>77061.097482671743</v>
      </c>
      <c r="C142" s="82">
        <v>86463.973367939965</v>
      </c>
      <c r="D142" s="82">
        <v>109305.36613675464</v>
      </c>
      <c r="E142" s="205">
        <v>130225.3562473747</v>
      </c>
      <c r="F142" s="228">
        <v>141468.97647175621</v>
      </c>
      <c r="G142" s="82">
        <v>163283.44465339469</v>
      </c>
      <c r="H142" s="82">
        <v>178897.86864251742</v>
      </c>
    </row>
    <row r="143" spans="1:8" s="86" customFormat="1">
      <c r="A143" s="125" t="s">
        <v>140</v>
      </c>
      <c r="B143" s="204">
        <v>4214.4750489800617</v>
      </c>
      <c r="C143" s="82">
        <v>4341.6464481182647</v>
      </c>
      <c r="D143" s="82">
        <v>4616.5564698323224</v>
      </c>
      <c r="E143" s="205">
        <v>4975.7683882477804</v>
      </c>
      <c r="F143" s="228">
        <v>4911.7690856745758</v>
      </c>
      <c r="G143" s="82">
        <v>5097.1402632773488</v>
      </c>
      <c r="H143" s="82">
        <v>14347.008781558727</v>
      </c>
    </row>
    <row r="144" spans="1:8" s="86" customFormat="1">
      <c r="A144" s="125" t="s">
        <v>144</v>
      </c>
      <c r="B144" s="204">
        <v>3644.7928661979954</v>
      </c>
      <c r="C144" s="82">
        <v>4172.8262709473565</v>
      </c>
      <c r="D144" s="82">
        <v>4061.1229713764587</v>
      </c>
      <c r="E144" s="205">
        <v>4248.0973781079929</v>
      </c>
      <c r="F144" s="228">
        <v>4647.9698203117241</v>
      </c>
      <c r="G144" s="82">
        <v>5382.6924323973799</v>
      </c>
      <c r="H144" s="82">
        <v>6285.5378704720088</v>
      </c>
    </row>
    <row r="145" spans="1:8">
      <c r="A145" s="206" t="s">
        <v>201</v>
      </c>
      <c r="B145" s="207">
        <v>160150.25064456111</v>
      </c>
      <c r="C145" s="208">
        <v>165217.34469333634</v>
      </c>
      <c r="D145" s="208">
        <v>180367.87779551061</v>
      </c>
      <c r="E145" s="209">
        <v>211445.04414963533</v>
      </c>
      <c r="F145" s="207">
        <v>219756.32879976177</v>
      </c>
      <c r="G145" s="208">
        <v>265880.29310680245</v>
      </c>
      <c r="H145" s="208">
        <v>338598.41759467626</v>
      </c>
    </row>
    <row r="146" spans="1:8">
      <c r="A146" s="125" t="s">
        <v>207</v>
      </c>
      <c r="B146" s="204">
        <v>227.84372478967379</v>
      </c>
      <c r="C146" s="82">
        <v>348.64300626304799</v>
      </c>
      <c r="D146" s="82">
        <v>424.87615810309461</v>
      </c>
      <c r="E146" s="205">
        <v>606.94202931279779</v>
      </c>
      <c r="F146" s="228">
        <v>766.30596644495176</v>
      </c>
      <c r="G146" s="82">
        <v>2429.5441281369558</v>
      </c>
      <c r="H146" s="82">
        <v>5846.5971459934135</v>
      </c>
    </row>
    <row r="147" spans="1:8" s="86" customFormat="1">
      <c r="A147" s="125" t="s">
        <v>203</v>
      </c>
      <c r="B147" s="204">
        <v>842.86866757766836</v>
      </c>
      <c r="C147" s="82">
        <v>853.61770956760506</v>
      </c>
      <c r="D147" s="82">
        <v>2446.6184425974679</v>
      </c>
      <c r="E147" s="205">
        <v>2873.3994263905511</v>
      </c>
      <c r="F147" s="228">
        <v>3155.4402859128363</v>
      </c>
      <c r="G147" s="82">
        <v>8857.402243693663</v>
      </c>
      <c r="H147" s="82">
        <v>8115.852542993046</v>
      </c>
    </row>
    <row r="148" spans="1:8" s="86" customFormat="1">
      <c r="A148" s="125" t="s">
        <v>205</v>
      </c>
      <c r="B148" s="204">
        <v>122600.75075322279</v>
      </c>
      <c r="C148" s="82">
        <v>125316.38736857947</v>
      </c>
      <c r="D148" s="82">
        <v>129720.58366323292</v>
      </c>
      <c r="E148" s="205">
        <v>153887.01700503606</v>
      </c>
      <c r="F148" s="228">
        <v>159841.53181773055</v>
      </c>
      <c r="G148" s="82">
        <v>192443.38888528629</v>
      </c>
      <c r="H148" s="82">
        <v>247008.41566044636</v>
      </c>
    </row>
    <row r="149" spans="1:8" s="86" customFormat="1">
      <c r="A149" s="125" t="s">
        <v>209</v>
      </c>
      <c r="B149" s="204">
        <v>1606.397866280314</v>
      </c>
      <c r="C149" s="82">
        <v>1390.246196091708</v>
      </c>
      <c r="D149" s="82">
        <v>1031.919083051796</v>
      </c>
      <c r="E149" s="205">
        <v>1947.087915810393</v>
      </c>
      <c r="F149" s="228">
        <v>1733.3962076839071</v>
      </c>
      <c r="G149" s="82">
        <v>1655.7940470786591</v>
      </c>
      <c r="H149" s="82">
        <v>1644.6212952799119</v>
      </c>
    </row>
    <row r="150" spans="1:8" s="86" customFormat="1">
      <c r="A150" s="125" t="s">
        <v>166</v>
      </c>
      <c r="B150" s="204">
        <v>26285.503612176661</v>
      </c>
      <c r="C150" s="82">
        <v>27983.584795651586</v>
      </c>
      <c r="D150" s="82">
        <v>36605.373367463377</v>
      </c>
      <c r="E150" s="205">
        <v>40083.045860075435</v>
      </c>
      <c r="F150" s="228">
        <v>40968.090092325961</v>
      </c>
      <c r="G150" s="82">
        <v>43402.136696712347</v>
      </c>
      <c r="H150" s="82">
        <v>58037.35970911097</v>
      </c>
    </row>
    <row r="151" spans="1:8" s="86" customFormat="1">
      <c r="A151" s="125" t="s">
        <v>214</v>
      </c>
      <c r="B151" s="204">
        <v>8586.8860205140027</v>
      </c>
      <c r="C151" s="82">
        <v>9324.865617182948</v>
      </c>
      <c r="D151" s="82">
        <v>10138.50708106204</v>
      </c>
      <c r="E151" s="205">
        <v>12047.5519130101</v>
      </c>
      <c r="F151" s="228">
        <v>13291.564429663451</v>
      </c>
      <c r="G151" s="82">
        <v>17092.027105894562</v>
      </c>
      <c r="H151" s="82">
        <v>17945.571240852543</v>
      </c>
    </row>
    <row r="152" spans="1:8">
      <c r="A152" s="215"/>
      <c r="B152" s="69"/>
      <c r="C152" s="82"/>
      <c r="D152" s="82"/>
      <c r="E152" s="82"/>
      <c r="F152" s="82"/>
      <c r="G152" s="82"/>
      <c r="H152" s="82"/>
    </row>
    <row r="153" spans="1:8">
      <c r="A153" s="125"/>
      <c r="B153" s="69"/>
      <c r="C153" s="82"/>
      <c r="D153" s="82"/>
      <c r="E153" s="82"/>
      <c r="F153" s="82"/>
      <c r="G153" s="82"/>
      <c r="H153" s="82"/>
    </row>
    <row r="154" spans="1:8" ht="18">
      <c r="A154" s="233" t="s">
        <v>216</v>
      </c>
      <c r="B154" s="234"/>
      <c r="C154" s="234"/>
      <c r="D154" s="234"/>
      <c r="E154" s="234"/>
      <c r="F154" s="234"/>
      <c r="G154" s="235"/>
      <c r="H154" s="235"/>
    </row>
    <row r="155" spans="1:8">
      <c r="A155" s="68" t="s">
        <v>577</v>
      </c>
      <c r="B155" s="72"/>
      <c r="C155" s="72"/>
      <c r="D155" s="72"/>
      <c r="E155" s="72"/>
      <c r="F155" s="72"/>
      <c r="G155" s="72"/>
      <c r="H155" s="72"/>
    </row>
    <row r="156" spans="1:8" ht="15.75">
      <c r="A156" s="72"/>
      <c r="B156" s="59">
        <v>42825</v>
      </c>
      <c r="C156" s="59">
        <v>42916</v>
      </c>
      <c r="D156" s="59">
        <v>43008</v>
      </c>
      <c r="E156" s="59">
        <v>43100</v>
      </c>
      <c r="F156" s="59">
        <v>43190</v>
      </c>
      <c r="G156" s="59">
        <v>43281</v>
      </c>
      <c r="H156" s="59">
        <v>43373</v>
      </c>
    </row>
    <row r="157" spans="1:8">
      <c r="A157" s="125" t="s">
        <v>218</v>
      </c>
      <c r="B157" s="214">
        <v>79539.850837188613</v>
      </c>
      <c r="C157" s="69">
        <v>88944.685813161806</v>
      </c>
      <c r="D157" s="69">
        <v>111837.50284991815</v>
      </c>
      <c r="E157" s="69">
        <v>132242.63227998465</v>
      </c>
      <c r="F157" s="214">
        <v>138887.63780601605</v>
      </c>
      <c r="G157" s="69">
        <v>166084.36547565009</v>
      </c>
      <c r="H157" s="69">
        <v>182403.2656421515</v>
      </c>
    </row>
    <row r="158" spans="1:8">
      <c r="A158" s="125" t="s">
        <v>549</v>
      </c>
      <c r="B158" s="214">
        <v>121711.90927904639</v>
      </c>
      <c r="C158" s="69">
        <v>124403.63026180671</v>
      </c>
      <c r="D158" s="69">
        <v>128608.05911538539</v>
      </c>
      <c r="E158" s="69">
        <v>152842.83193310903</v>
      </c>
      <c r="F158" s="214">
        <v>159740.16559019161</v>
      </c>
      <c r="G158" s="69">
        <v>192411.10896310225</v>
      </c>
      <c r="H158" s="69">
        <v>247204.45903768748</v>
      </c>
    </row>
    <row r="159" spans="1:8">
      <c r="A159" s="125" t="s">
        <v>226</v>
      </c>
      <c r="B159" s="214">
        <v>24239.928795995984</v>
      </c>
      <c r="C159" s="69">
        <v>26172.844164080569</v>
      </c>
      <c r="D159" s="69">
        <v>26487.121002963911</v>
      </c>
      <c r="E159" s="69">
        <v>28302.607061041981</v>
      </c>
      <c r="F159" s="214">
        <v>43811.134354958805</v>
      </c>
      <c r="G159" s="69">
        <v>38888.908575967827</v>
      </c>
      <c r="H159" s="69">
        <v>35793.941786040974</v>
      </c>
    </row>
    <row r="160" spans="1:8">
      <c r="A160" s="125" t="s">
        <v>377</v>
      </c>
      <c r="B160" s="214">
        <v>0</v>
      </c>
      <c r="C160" s="69">
        <v>0</v>
      </c>
      <c r="D160" s="69">
        <v>0</v>
      </c>
      <c r="E160" s="69">
        <v>0</v>
      </c>
      <c r="F160" s="214">
        <v>0</v>
      </c>
      <c r="G160" s="69">
        <v>0</v>
      </c>
      <c r="H160" s="69">
        <v>0</v>
      </c>
    </row>
    <row r="161" spans="1:8">
      <c r="A161" s="125" t="s">
        <v>540</v>
      </c>
      <c r="B161" s="214">
        <v>0</v>
      </c>
      <c r="C161" s="69">
        <v>0</v>
      </c>
      <c r="D161" s="69">
        <v>0</v>
      </c>
      <c r="E161" s="69">
        <v>0</v>
      </c>
      <c r="F161" s="214">
        <v>0</v>
      </c>
      <c r="G161" s="69">
        <v>0</v>
      </c>
      <c r="H161" s="69">
        <v>0</v>
      </c>
    </row>
    <row r="162" spans="1:8">
      <c r="A162" s="215" t="s">
        <v>538</v>
      </c>
      <c r="B162" s="212"/>
      <c r="C162" s="216"/>
      <c r="D162" s="216"/>
      <c r="E162" s="216"/>
      <c r="F162" s="216"/>
      <c r="G162" s="72"/>
      <c r="H162" s="72"/>
    </row>
    <row r="163" spans="1:8">
      <c r="A163" s="215" t="s">
        <v>500</v>
      </c>
      <c r="B163" s="212"/>
      <c r="C163" s="216"/>
      <c r="D163" s="216"/>
      <c r="E163" s="216"/>
      <c r="F163" s="216"/>
      <c r="G163" s="72"/>
      <c r="H163" s="72"/>
    </row>
    <row r="164" spans="1:8">
      <c r="A164" s="72"/>
      <c r="B164" s="72"/>
      <c r="C164" s="72"/>
      <c r="D164" s="72"/>
      <c r="E164" s="72"/>
      <c r="F164" s="72"/>
      <c r="G164" s="72"/>
      <c r="H164" s="72"/>
    </row>
    <row r="165" spans="1:8">
      <c r="A165" s="72"/>
      <c r="B165" s="72"/>
      <c r="C165" s="72"/>
      <c r="D165" s="72"/>
      <c r="E165" s="72"/>
      <c r="F165" s="72"/>
      <c r="G165" s="72"/>
      <c r="H165" s="72"/>
    </row>
    <row r="166" spans="1:8">
      <c r="A166" s="72"/>
      <c r="B166" s="72"/>
      <c r="C166" s="72"/>
      <c r="D166" s="72"/>
      <c r="E166" s="72"/>
      <c r="F166" s="72"/>
      <c r="G166" s="72"/>
      <c r="H166" s="72"/>
    </row>
    <row r="167" spans="1:8">
      <c r="A167" s="72"/>
      <c r="B167" s="72"/>
      <c r="C167" s="72"/>
      <c r="D167" s="72"/>
      <c r="E167" s="72"/>
      <c r="F167" s="72"/>
      <c r="G167" s="72"/>
      <c r="H167" s="72"/>
    </row>
    <row r="168" spans="1:8">
      <c r="A168" s="72"/>
      <c r="B168" s="72"/>
      <c r="C168" s="72"/>
      <c r="D168" s="72"/>
      <c r="E168" s="72"/>
      <c r="F168" s="72"/>
      <c r="G168" s="72"/>
      <c r="H168" s="72"/>
    </row>
    <row r="169" spans="1:8">
      <c r="A169" s="72"/>
      <c r="B169" s="72"/>
      <c r="C169" s="72"/>
      <c r="D169" s="72"/>
      <c r="E169" s="72"/>
      <c r="F169" s="72"/>
      <c r="G169" s="72"/>
      <c r="H169" s="72"/>
    </row>
    <row r="170" spans="1:8">
      <c r="A170" s="72"/>
      <c r="B170" s="72"/>
      <c r="C170" s="72"/>
      <c r="D170" s="72"/>
      <c r="E170" s="72"/>
      <c r="F170" s="72"/>
      <c r="G170" s="72"/>
      <c r="H170" s="72"/>
    </row>
    <row r="171" spans="1:8">
      <c r="A171" s="72"/>
      <c r="B171" s="72"/>
      <c r="C171" s="72"/>
      <c r="D171" s="72"/>
      <c r="E171" s="72"/>
      <c r="F171" s="72"/>
      <c r="G171" s="72"/>
      <c r="H171" s="72"/>
    </row>
    <row r="172" spans="1:8">
      <c r="A172" s="72"/>
      <c r="B172" s="72"/>
      <c r="C172" s="72"/>
      <c r="D172" s="72"/>
      <c r="E172" s="72"/>
      <c r="F172" s="72"/>
      <c r="G172" s="72"/>
      <c r="H172" s="72"/>
    </row>
    <row r="173" spans="1:8">
      <c r="A173" s="72"/>
      <c r="B173" s="72"/>
      <c r="C173" s="72"/>
      <c r="D173" s="72"/>
      <c r="E173" s="72"/>
      <c r="F173" s="72"/>
      <c r="G173" s="72"/>
      <c r="H173" s="72"/>
    </row>
    <row r="174" spans="1:8">
      <c r="A174" s="72"/>
      <c r="B174" s="72"/>
      <c r="C174" s="72"/>
      <c r="D174" s="72"/>
      <c r="E174" s="72"/>
      <c r="F174" s="72"/>
      <c r="G174" s="72"/>
      <c r="H174" s="72"/>
    </row>
    <row r="175" spans="1:8">
      <c r="A175" s="72"/>
      <c r="B175" s="72"/>
      <c r="C175" s="72"/>
      <c r="D175" s="72"/>
      <c r="E175" s="72"/>
      <c r="F175" s="72"/>
      <c r="G175" s="72"/>
      <c r="H175" s="72"/>
    </row>
    <row r="176" spans="1:8">
      <c r="A176" s="72"/>
      <c r="B176" s="72"/>
      <c r="C176" s="72"/>
      <c r="D176" s="72"/>
      <c r="E176" s="72"/>
      <c r="F176" s="72"/>
      <c r="G176" s="72"/>
      <c r="H176" s="72"/>
    </row>
    <row r="177" spans="1:8">
      <c r="A177" s="72"/>
      <c r="B177" s="72"/>
      <c r="C177" s="72"/>
      <c r="D177" s="72"/>
      <c r="E177" s="72"/>
      <c r="F177" s="72"/>
      <c r="G177" s="72"/>
      <c r="H177" s="72"/>
    </row>
  </sheetData>
  <mergeCells count="6">
    <mergeCell ref="B6:E6"/>
    <mergeCell ref="F6:H6"/>
    <mergeCell ref="B60:E60"/>
    <mergeCell ref="F60:H60"/>
    <mergeCell ref="B114:E114"/>
    <mergeCell ref="F114:H11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showGridLines="0" workbookViewId="0"/>
  </sheetViews>
  <sheetFormatPr baseColWidth="10" defaultRowHeight="15"/>
  <cols>
    <col min="1" max="1" width="65.85546875" style="217" customWidth="1"/>
    <col min="2" max="2" width="11.42578125" bestFit="1" customWidth="1"/>
    <col min="3" max="5" width="11.42578125" style="218" bestFit="1" customWidth="1"/>
    <col min="6" max="6" width="11.42578125" bestFit="1" customWidth="1"/>
    <col min="7" max="7" width="11.7109375" customWidth="1"/>
    <col min="8" max="8" width="10.7109375" customWidth="1"/>
    <col min="9" max="9" width="11.42578125" style="86"/>
    <col min="256" max="256" width="65.85546875" customWidth="1"/>
    <col min="257" max="261" width="11.42578125" bestFit="1" customWidth="1"/>
    <col min="262" max="264" width="10.7109375" customWidth="1"/>
    <col min="512" max="512" width="65.85546875" customWidth="1"/>
    <col min="513" max="517" width="11.42578125" bestFit="1" customWidth="1"/>
    <col min="518" max="520" width="10.7109375" customWidth="1"/>
    <col min="768" max="768" width="65.85546875" customWidth="1"/>
    <col min="769" max="773" width="11.42578125" bestFit="1" customWidth="1"/>
    <col min="774" max="776" width="10.7109375" customWidth="1"/>
    <col min="1024" max="1024" width="65.85546875" customWidth="1"/>
    <col min="1025" max="1029" width="11.42578125" bestFit="1" customWidth="1"/>
    <col min="1030" max="1032" width="10.7109375" customWidth="1"/>
    <col min="1280" max="1280" width="65.85546875" customWidth="1"/>
    <col min="1281" max="1285" width="11.42578125" bestFit="1" customWidth="1"/>
    <col min="1286" max="1288" width="10.7109375" customWidth="1"/>
    <col min="1536" max="1536" width="65.85546875" customWidth="1"/>
    <col min="1537" max="1541" width="11.42578125" bestFit="1" customWidth="1"/>
    <col min="1542" max="1544" width="10.7109375" customWidth="1"/>
    <col min="1792" max="1792" width="65.85546875" customWidth="1"/>
    <col min="1793" max="1797" width="11.42578125" bestFit="1" customWidth="1"/>
    <col min="1798" max="1800" width="10.7109375" customWidth="1"/>
    <col min="2048" max="2048" width="65.85546875" customWidth="1"/>
    <col min="2049" max="2053" width="11.42578125" bestFit="1" customWidth="1"/>
    <col min="2054" max="2056" width="10.7109375" customWidth="1"/>
    <col min="2304" max="2304" width="65.85546875" customWidth="1"/>
    <col min="2305" max="2309" width="11.42578125" bestFit="1" customWidth="1"/>
    <col min="2310" max="2312" width="10.7109375" customWidth="1"/>
    <col min="2560" max="2560" width="65.85546875" customWidth="1"/>
    <col min="2561" max="2565" width="11.42578125" bestFit="1" customWidth="1"/>
    <col min="2566" max="2568" width="10.7109375" customWidth="1"/>
    <col min="2816" max="2816" width="65.85546875" customWidth="1"/>
    <col min="2817" max="2821" width="11.42578125" bestFit="1" customWidth="1"/>
    <col min="2822" max="2824" width="10.7109375" customWidth="1"/>
    <col min="3072" max="3072" width="65.85546875" customWidth="1"/>
    <col min="3073" max="3077" width="11.42578125" bestFit="1" customWidth="1"/>
    <col min="3078" max="3080" width="10.7109375" customWidth="1"/>
    <col min="3328" max="3328" width="65.85546875" customWidth="1"/>
    <col min="3329" max="3333" width="11.42578125" bestFit="1" customWidth="1"/>
    <col min="3334" max="3336" width="10.7109375" customWidth="1"/>
    <col min="3584" max="3584" width="65.85546875" customWidth="1"/>
    <col min="3585" max="3589" width="11.42578125" bestFit="1" customWidth="1"/>
    <col min="3590" max="3592" width="10.7109375" customWidth="1"/>
    <col min="3840" max="3840" width="65.85546875" customWidth="1"/>
    <col min="3841" max="3845" width="11.42578125" bestFit="1" customWidth="1"/>
    <col min="3846" max="3848" width="10.7109375" customWidth="1"/>
    <col min="4096" max="4096" width="65.85546875" customWidth="1"/>
    <col min="4097" max="4101" width="11.42578125" bestFit="1" customWidth="1"/>
    <col min="4102" max="4104" width="10.7109375" customWidth="1"/>
    <col min="4352" max="4352" width="65.85546875" customWidth="1"/>
    <col min="4353" max="4357" width="11.42578125" bestFit="1" customWidth="1"/>
    <col min="4358" max="4360" width="10.7109375" customWidth="1"/>
    <col min="4608" max="4608" width="65.85546875" customWidth="1"/>
    <col min="4609" max="4613" width="11.42578125" bestFit="1" customWidth="1"/>
    <col min="4614" max="4616" width="10.7109375" customWidth="1"/>
    <col min="4864" max="4864" width="65.85546875" customWidth="1"/>
    <col min="4865" max="4869" width="11.42578125" bestFit="1" customWidth="1"/>
    <col min="4870" max="4872" width="10.7109375" customWidth="1"/>
    <col min="5120" max="5120" width="65.85546875" customWidth="1"/>
    <col min="5121" max="5125" width="11.42578125" bestFit="1" customWidth="1"/>
    <col min="5126" max="5128" width="10.7109375" customWidth="1"/>
    <col min="5376" max="5376" width="65.85546875" customWidth="1"/>
    <col min="5377" max="5381" width="11.42578125" bestFit="1" customWidth="1"/>
    <col min="5382" max="5384" width="10.7109375" customWidth="1"/>
    <col min="5632" max="5632" width="65.85546875" customWidth="1"/>
    <col min="5633" max="5637" width="11.42578125" bestFit="1" customWidth="1"/>
    <col min="5638" max="5640" width="10.7109375" customWidth="1"/>
    <col min="5888" max="5888" width="65.85546875" customWidth="1"/>
    <col min="5889" max="5893" width="11.42578125" bestFit="1" customWidth="1"/>
    <col min="5894" max="5896" width="10.7109375" customWidth="1"/>
    <col min="6144" max="6144" width="65.85546875" customWidth="1"/>
    <col min="6145" max="6149" width="11.42578125" bestFit="1" customWidth="1"/>
    <col min="6150" max="6152" width="10.7109375" customWidth="1"/>
    <col min="6400" max="6400" width="65.85546875" customWidth="1"/>
    <col min="6401" max="6405" width="11.42578125" bestFit="1" customWidth="1"/>
    <col min="6406" max="6408" width="10.7109375" customWidth="1"/>
    <col min="6656" max="6656" width="65.85546875" customWidth="1"/>
    <col min="6657" max="6661" width="11.42578125" bestFit="1" customWidth="1"/>
    <col min="6662" max="6664" width="10.7109375" customWidth="1"/>
    <col min="6912" max="6912" width="65.85546875" customWidth="1"/>
    <col min="6913" max="6917" width="11.42578125" bestFit="1" customWidth="1"/>
    <col min="6918" max="6920" width="10.7109375" customWidth="1"/>
    <col min="7168" max="7168" width="65.85546875" customWidth="1"/>
    <col min="7169" max="7173" width="11.42578125" bestFit="1" customWidth="1"/>
    <col min="7174" max="7176" width="10.7109375" customWidth="1"/>
    <col min="7424" max="7424" width="65.85546875" customWidth="1"/>
    <col min="7425" max="7429" width="11.42578125" bestFit="1" customWidth="1"/>
    <col min="7430" max="7432" width="10.7109375" customWidth="1"/>
    <col min="7680" max="7680" width="65.85546875" customWidth="1"/>
    <col min="7681" max="7685" width="11.42578125" bestFit="1" customWidth="1"/>
    <col min="7686" max="7688" width="10.7109375" customWidth="1"/>
    <col min="7936" max="7936" width="65.85546875" customWidth="1"/>
    <col min="7937" max="7941" width="11.42578125" bestFit="1" customWidth="1"/>
    <col min="7942" max="7944" width="10.7109375" customWidth="1"/>
    <col min="8192" max="8192" width="65.85546875" customWidth="1"/>
    <col min="8193" max="8197" width="11.42578125" bestFit="1" customWidth="1"/>
    <col min="8198" max="8200" width="10.7109375" customWidth="1"/>
    <col min="8448" max="8448" width="65.85546875" customWidth="1"/>
    <col min="8449" max="8453" width="11.42578125" bestFit="1" customWidth="1"/>
    <col min="8454" max="8456" width="10.7109375" customWidth="1"/>
    <col min="8704" max="8704" width="65.85546875" customWidth="1"/>
    <col min="8705" max="8709" width="11.42578125" bestFit="1" customWidth="1"/>
    <col min="8710" max="8712" width="10.7109375" customWidth="1"/>
    <col min="8960" max="8960" width="65.85546875" customWidth="1"/>
    <col min="8961" max="8965" width="11.42578125" bestFit="1" customWidth="1"/>
    <col min="8966" max="8968" width="10.7109375" customWidth="1"/>
    <col min="9216" max="9216" width="65.85546875" customWidth="1"/>
    <col min="9217" max="9221" width="11.42578125" bestFit="1" customWidth="1"/>
    <col min="9222" max="9224" width="10.7109375" customWidth="1"/>
    <col min="9472" max="9472" width="65.85546875" customWidth="1"/>
    <col min="9473" max="9477" width="11.42578125" bestFit="1" customWidth="1"/>
    <col min="9478" max="9480" width="10.7109375" customWidth="1"/>
    <col min="9728" max="9728" width="65.85546875" customWidth="1"/>
    <col min="9729" max="9733" width="11.42578125" bestFit="1" customWidth="1"/>
    <col min="9734" max="9736" width="10.7109375" customWidth="1"/>
    <col min="9984" max="9984" width="65.85546875" customWidth="1"/>
    <col min="9985" max="9989" width="11.42578125" bestFit="1" customWidth="1"/>
    <col min="9990" max="9992" width="10.7109375" customWidth="1"/>
    <col min="10240" max="10240" width="65.85546875" customWidth="1"/>
    <col min="10241" max="10245" width="11.42578125" bestFit="1" customWidth="1"/>
    <col min="10246" max="10248" width="10.7109375" customWidth="1"/>
    <col min="10496" max="10496" width="65.85546875" customWidth="1"/>
    <col min="10497" max="10501" width="11.42578125" bestFit="1" customWidth="1"/>
    <col min="10502" max="10504" width="10.7109375" customWidth="1"/>
    <col min="10752" max="10752" width="65.85546875" customWidth="1"/>
    <col min="10753" max="10757" width="11.42578125" bestFit="1" customWidth="1"/>
    <col min="10758" max="10760" width="10.7109375" customWidth="1"/>
    <col min="11008" max="11008" width="65.85546875" customWidth="1"/>
    <col min="11009" max="11013" width="11.42578125" bestFit="1" customWidth="1"/>
    <col min="11014" max="11016" width="10.7109375" customWidth="1"/>
    <col min="11264" max="11264" width="65.85546875" customWidth="1"/>
    <col min="11265" max="11269" width="11.42578125" bestFit="1" customWidth="1"/>
    <col min="11270" max="11272" width="10.7109375" customWidth="1"/>
    <col min="11520" max="11520" width="65.85546875" customWidth="1"/>
    <col min="11521" max="11525" width="11.42578125" bestFit="1" customWidth="1"/>
    <col min="11526" max="11528" width="10.7109375" customWidth="1"/>
    <col min="11776" max="11776" width="65.85546875" customWidth="1"/>
    <col min="11777" max="11781" width="11.42578125" bestFit="1" customWidth="1"/>
    <col min="11782" max="11784" width="10.7109375" customWidth="1"/>
    <col min="12032" max="12032" width="65.85546875" customWidth="1"/>
    <col min="12033" max="12037" width="11.42578125" bestFit="1" customWidth="1"/>
    <col min="12038" max="12040" width="10.7109375" customWidth="1"/>
    <col min="12288" max="12288" width="65.85546875" customWidth="1"/>
    <col min="12289" max="12293" width="11.42578125" bestFit="1" customWidth="1"/>
    <col min="12294" max="12296" width="10.7109375" customWidth="1"/>
    <col min="12544" max="12544" width="65.85546875" customWidth="1"/>
    <col min="12545" max="12549" width="11.42578125" bestFit="1" customWidth="1"/>
    <col min="12550" max="12552" width="10.7109375" customWidth="1"/>
    <col min="12800" max="12800" width="65.85546875" customWidth="1"/>
    <col min="12801" max="12805" width="11.42578125" bestFit="1" customWidth="1"/>
    <col min="12806" max="12808" width="10.7109375" customWidth="1"/>
    <col min="13056" max="13056" width="65.85546875" customWidth="1"/>
    <col min="13057" max="13061" width="11.42578125" bestFit="1" customWidth="1"/>
    <col min="13062" max="13064" width="10.7109375" customWidth="1"/>
    <col min="13312" max="13312" width="65.85546875" customWidth="1"/>
    <col min="13313" max="13317" width="11.42578125" bestFit="1" customWidth="1"/>
    <col min="13318" max="13320" width="10.7109375" customWidth="1"/>
    <col min="13568" max="13568" width="65.85546875" customWidth="1"/>
    <col min="13569" max="13573" width="11.42578125" bestFit="1" customWidth="1"/>
    <col min="13574" max="13576" width="10.7109375" customWidth="1"/>
    <col min="13824" max="13824" width="65.85546875" customWidth="1"/>
    <col min="13825" max="13829" width="11.42578125" bestFit="1" customWidth="1"/>
    <col min="13830" max="13832" width="10.7109375" customWidth="1"/>
    <col min="14080" max="14080" width="65.85546875" customWidth="1"/>
    <col min="14081" max="14085" width="11.42578125" bestFit="1" customWidth="1"/>
    <col min="14086" max="14088" width="10.7109375" customWidth="1"/>
    <col min="14336" max="14336" width="65.85546875" customWidth="1"/>
    <col min="14337" max="14341" width="11.42578125" bestFit="1" customWidth="1"/>
    <col min="14342" max="14344" width="10.7109375" customWidth="1"/>
    <col min="14592" max="14592" width="65.85546875" customWidth="1"/>
    <col min="14593" max="14597" width="11.42578125" bestFit="1" customWidth="1"/>
    <col min="14598" max="14600" width="10.7109375" customWidth="1"/>
    <col min="14848" max="14848" width="65.85546875" customWidth="1"/>
    <col min="14849" max="14853" width="11.42578125" bestFit="1" customWidth="1"/>
    <col min="14854" max="14856" width="10.7109375" customWidth="1"/>
    <col min="15104" max="15104" width="65.85546875" customWidth="1"/>
    <col min="15105" max="15109" width="11.42578125" bestFit="1" customWidth="1"/>
    <col min="15110" max="15112" width="10.7109375" customWidth="1"/>
    <col min="15360" max="15360" width="65.85546875" customWidth="1"/>
    <col min="15361" max="15365" width="11.42578125" bestFit="1" customWidth="1"/>
    <col min="15366" max="15368" width="10.7109375" customWidth="1"/>
    <col min="15616" max="15616" width="65.85546875" customWidth="1"/>
    <col min="15617" max="15621" width="11.42578125" bestFit="1" customWidth="1"/>
    <col min="15622" max="15624" width="10.7109375" customWidth="1"/>
    <col min="15872" max="15872" width="65.85546875" customWidth="1"/>
    <col min="15873" max="15877" width="11.42578125" bestFit="1" customWidth="1"/>
    <col min="15878" max="15880" width="10.7109375" customWidth="1"/>
    <col min="16128" max="16128" width="65.85546875" customWidth="1"/>
    <col min="16129" max="16133" width="11.42578125" bestFit="1" customWidth="1"/>
    <col min="16134" max="16136" width="10.7109375" customWidth="1"/>
  </cols>
  <sheetData>
    <row r="1" spans="1:8" ht="18" customHeight="1">
      <c r="A1" s="197" t="s">
        <v>32</v>
      </c>
      <c r="B1" s="72"/>
      <c r="C1" s="72"/>
      <c r="D1" s="72"/>
      <c r="E1" s="72"/>
      <c r="F1" s="72"/>
      <c r="G1" s="72"/>
      <c r="H1" s="72"/>
    </row>
    <row r="2" spans="1:8" ht="18" customHeight="1">
      <c r="A2" s="198"/>
      <c r="B2" s="72"/>
      <c r="C2" s="72"/>
      <c r="D2" s="72"/>
      <c r="E2" s="72"/>
      <c r="F2" s="72"/>
      <c r="G2" s="72"/>
      <c r="H2" s="72"/>
    </row>
    <row r="3" spans="1:8" ht="18" customHeight="1">
      <c r="A3" s="230" t="s">
        <v>179</v>
      </c>
      <c r="B3" s="231"/>
      <c r="C3" s="231"/>
      <c r="D3" s="231"/>
      <c r="E3" s="231"/>
      <c r="F3" s="231"/>
      <c r="G3" s="232"/>
      <c r="H3" s="232"/>
    </row>
    <row r="4" spans="1:8">
      <c r="A4" s="68" t="s">
        <v>55</v>
      </c>
      <c r="B4" s="72"/>
      <c r="C4" s="72"/>
      <c r="D4" s="72"/>
      <c r="E4" s="72"/>
      <c r="F4" s="72"/>
      <c r="G4" s="72"/>
      <c r="H4" s="72"/>
    </row>
    <row r="5" spans="1:8">
      <c r="A5" s="201"/>
      <c r="B5" s="72"/>
      <c r="C5" s="200"/>
      <c r="D5" s="200"/>
      <c r="E5" s="200"/>
      <c r="F5" s="72"/>
      <c r="G5" s="72"/>
      <c r="H5" s="72"/>
    </row>
    <row r="6" spans="1:8" ht="15.75">
      <c r="A6" s="73"/>
      <c r="B6" s="315">
        <v>2017</v>
      </c>
      <c r="C6" s="316"/>
      <c r="D6" s="316"/>
      <c r="E6" s="316"/>
      <c r="F6" s="315">
        <v>2018</v>
      </c>
      <c r="G6" s="316"/>
      <c r="H6" s="316"/>
    </row>
    <row r="7" spans="1:8" ht="15.75">
      <c r="A7" s="73"/>
      <c r="B7" s="93" t="s">
        <v>751</v>
      </c>
      <c r="C7" s="93" t="s">
        <v>65</v>
      </c>
      <c r="D7" s="93" t="s">
        <v>752</v>
      </c>
      <c r="E7" s="93" t="s">
        <v>69</v>
      </c>
      <c r="F7" s="93" t="s">
        <v>751</v>
      </c>
      <c r="G7" s="93" t="s">
        <v>65</v>
      </c>
      <c r="H7" s="93" t="s">
        <v>752</v>
      </c>
    </row>
    <row r="8" spans="1:8">
      <c r="A8" s="139" t="s">
        <v>71</v>
      </c>
      <c r="B8" s="202">
        <v>149.38399942000001</v>
      </c>
      <c r="C8" s="77">
        <v>151.58700107999999</v>
      </c>
      <c r="D8" s="77">
        <v>143.09799902999998</v>
      </c>
      <c r="E8" s="203">
        <v>151.04700064000005</v>
      </c>
      <c r="F8" s="77">
        <v>152.80600000000001</v>
      </c>
      <c r="G8" s="77">
        <v>158.88999999999996</v>
      </c>
      <c r="H8" s="77">
        <v>39.457999999999998</v>
      </c>
    </row>
    <row r="9" spans="1:8">
      <c r="A9" s="125" t="s">
        <v>73</v>
      </c>
      <c r="B9" s="204">
        <v>22.515515489999999</v>
      </c>
      <c r="C9" s="82">
        <v>17.657393899999999</v>
      </c>
      <c r="D9" s="82">
        <v>18.508417260000002</v>
      </c>
      <c r="E9" s="205">
        <v>19.289307189999999</v>
      </c>
      <c r="F9" s="82">
        <v>19.284331769999998</v>
      </c>
      <c r="G9" s="82">
        <v>25.069242550000009</v>
      </c>
      <c r="H9" s="82">
        <v>7.3966558299999949</v>
      </c>
    </row>
    <row r="10" spans="1:8">
      <c r="A10" s="125" t="s">
        <v>75</v>
      </c>
      <c r="B10" s="204">
        <v>27.874360429999996</v>
      </c>
      <c r="C10" s="82">
        <v>16.317670960000004</v>
      </c>
      <c r="D10" s="82">
        <v>10.930478690000022</v>
      </c>
      <c r="E10" s="205">
        <v>15.279904299999995</v>
      </c>
      <c r="F10" s="82">
        <v>18.480207020000009</v>
      </c>
      <c r="G10" s="82">
        <v>19.191988620000004</v>
      </c>
      <c r="H10" s="82">
        <v>-0.59506799999999904</v>
      </c>
    </row>
    <row r="11" spans="1:8">
      <c r="A11" s="125" t="s">
        <v>182</v>
      </c>
      <c r="B11" s="204">
        <v>3.4329990599999998</v>
      </c>
      <c r="C11" s="82">
        <v>8.2780011499999997</v>
      </c>
      <c r="D11" s="82">
        <v>7.8699995599999983</v>
      </c>
      <c r="E11" s="205">
        <v>5.01000113</v>
      </c>
      <c r="F11" s="82">
        <v>4.5089999999999995</v>
      </c>
      <c r="G11" s="82">
        <v>4.3740000000000014</v>
      </c>
      <c r="H11" s="82">
        <v>-0.52900000000000102</v>
      </c>
    </row>
    <row r="12" spans="1:8">
      <c r="A12" s="139" t="s">
        <v>83</v>
      </c>
      <c r="B12" s="202">
        <v>203.2068744</v>
      </c>
      <c r="C12" s="77">
        <v>193.84006708999999</v>
      </c>
      <c r="D12" s="77">
        <v>180.40689453999997</v>
      </c>
      <c r="E12" s="203">
        <v>190.62621326000001</v>
      </c>
      <c r="F12" s="77">
        <v>195.07953878999996</v>
      </c>
      <c r="G12" s="77">
        <v>207.52523116999998</v>
      </c>
      <c r="H12" s="77">
        <v>45.730587830000005</v>
      </c>
    </row>
    <row r="13" spans="1:8">
      <c r="A13" s="125" t="s">
        <v>85</v>
      </c>
      <c r="B13" s="204">
        <v>-91.221388950000005</v>
      </c>
      <c r="C13" s="82">
        <v>-86.975392339999985</v>
      </c>
      <c r="D13" s="82">
        <v>-82.934392489999993</v>
      </c>
      <c r="E13" s="205">
        <v>-86.30338377999999</v>
      </c>
      <c r="F13" s="82">
        <v>-87.71438929</v>
      </c>
      <c r="G13" s="82">
        <v>-94.850389870000015</v>
      </c>
      <c r="H13" s="82">
        <v>-12.026999999999999</v>
      </c>
    </row>
    <row r="14" spans="1:8">
      <c r="A14" s="125" t="s">
        <v>87</v>
      </c>
      <c r="B14" s="204">
        <v>-87.328390830000004</v>
      </c>
      <c r="C14" s="82">
        <v>-83.350390799999985</v>
      </c>
      <c r="D14" s="82">
        <v>-79.173392700000008</v>
      </c>
      <c r="E14" s="205">
        <v>-82.190384709999989</v>
      </c>
      <c r="F14" s="82">
        <v>-83.264389289999997</v>
      </c>
      <c r="G14" s="82">
        <v>-88.880389870000002</v>
      </c>
      <c r="H14" s="82">
        <v>-11.503999999999998</v>
      </c>
    </row>
    <row r="15" spans="1:8">
      <c r="A15" s="141" t="s">
        <v>89</v>
      </c>
      <c r="B15" s="204">
        <v>-45.672999000000004</v>
      </c>
      <c r="C15" s="82">
        <v>-45.403002449999995</v>
      </c>
      <c r="D15" s="82">
        <v>-43.852998590000006</v>
      </c>
      <c r="E15" s="205">
        <v>-45.476001059999994</v>
      </c>
      <c r="F15" s="82">
        <v>-45.122999999999998</v>
      </c>
      <c r="G15" s="82">
        <v>-53.656000000000006</v>
      </c>
      <c r="H15" s="82">
        <v>-3.484</v>
      </c>
    </row>
    <row r="16" spans="1:8">
      <c r="A16" s="141" t="s">
        <v>91</v>
      </c>
      <c r="B16" s="204">
        <v>-41.655391830000006</v>
      </c>
      <c r="C16" s="82">
        <v>-37.947388349999997</v>
      </c>
      <c r="D16" s="82">
        <v>-35.320394110000002</v>
      </c>
      <c r="E16" s="205">
        <v>-36.714383650000002</v>
      </c>
      <c r="F16" s="82">
        <v>-38.141389290000006</v>
      </c>
      <c r="G16" s="82">
        <v>-35.22438987000001</v>
      </c>
      <c r="H16" s="82">
        <v>-8.02</v>
      </c>
    </row>
    <row r="17" spans="1:8" ht="13.5" customHeight="1">
      <c r="A17" s="125" t="s">
        <v>93</v>
      </c>
      <c r="B17" s="204">
        <v>-3.8929981199999997</v>
      </c>
      <c r="C17" s="82">
        <v>-3.6250015400000004</v>
      </c>
      <c r="D17" s="82">
        <v>-3.7609997899999996</v>
      </c>
      <c r="E17" s="205">
        <v>-4.1129990700000008</v>
      </c>
      <c r="F17" s="82">
        <v>-4.4499999999999993</v>
      </c>
      <c r="G17" s="82">
        <v>-5.9700000000000006</v>
      </c>
      <c r="H17" s="82">
        <v>-0.52299999999999969</v>
      </c>
    </row>
    <row r="18" spans="1:8" ht="12.75" customHeight="1">
      <c r="A18" s="139" t="s">
        <v>95</v>
      </c>
      <c r="B18" s="202">
        <v>111.98548545000001</v>
      </c>
      <c r="C18" s="77">
        <v>106.86467475000001</v>
      </c>
      <c r="D18" s="77">
        <v>97.472502049999974</v>
      </c>
      <c r="E18" s="203">
        <v>104.32282948000002</v>
      </c>
      <c r="F18" s="77">
        <v>107.36514949999997</v>
      </c>
      <c r="G18" s="77">
        <v>112.67484129999995</v>
      </c>
      <c r="H18" s="77">
        <v>33.703587829999996</v>
      </c>
    </row>
    <row r="19" spans="1:8" ht="13.5" customHeight="1">
      <c r="A19" s="125" t="s">
        <v>97</v>
      </c>
      <c r="B19" s="204">
        <v>-32.738999679999999</v>
      </c>
      <c r="C19" s="82">
        <v>-29.607001029999996</v>
      </c>
      <c r="D19" s="82">
        <v>-24.515999140000023</v>
      </c>
      <c r="E19" s="205">
        <v>-26.637000269999955</v>
      </c>
      <c r="F19" s="82">
        <v>-33.867999999999988</v>
      </c>
      <c r="G19" s="82">
        <v>-22.713000000000005</v>
      </c>
      <c r="H19" s="82">
        <v>-13.674999999999999</v>
      </c>
    </row>
    <row r="20" spans="1:8" ht="13.5" customHeight="1">
      <c r="A20" s="125" t="s">
        <v>291</v>
      </c>
      <c r="B20" s="204">
        <v>2.9370007599999992</v>
      </c>
      <c r="C20" s="82">
        <v>-4.20699998</v>
      </c>
      <c r="D20" s="82">
        <v>-3.6010011799999999</v>
      </c>
      <c r="E20" s="205">
        <v>2.0460011000000007</v>
      </c>
      <c r="F20" s="82">
        <v>1.6859999999999997</v>
      </c>
      <c r="G20" s="82">
        <v>0.48928799999999972</v>
      </c>
      <c r="H20" s="82">
        <v>1.1910000000000003</v>
      </c>
    </row>
    <row r="21" spans="1:8" ht="12.75" customHeight="1">
      <c r="A21" s="139" t="s">
        <v>103</v>
      </c>
      <c r="B21" s="202">
        <v>82.183486529999996</v>
      </c>
      <c r="C21" s="77">
        <v>73.050673740000008</v>
      </c>
      <c r="D21" s="77">
        <v>69.355501729999958</v>
      </c>
      <c r="E21" s="203">
        <v>79.731830310000063</v>
      </c>
      <c r="F21" s="77">
        <v>75.183149499999971</v>
      </c>
      <c r="G21" s="77">
        <v>90.451129299999963</v>
      </c>
      <c r="H21" s="77">
        <v>21.219587829999984</v>
      </c>
    </row>
    <row r="22" spans="1:8" ht="13.5" customHeight="1">
      <c r="A22" s="125" t="s">
        <v>105</v>
      </c>
      <c r="B22" s="204">
        <v>-17.445781930000003</v>
      </c>
      <c r="C22" s="82">
        <v>-16.35594742</v>
      </c>
      <c r="D22" s="82">
        <v>-16.667243819999999</v>
      </c>
      <c r="E22" s="205">
        <v>-14.637917079999999</v>
      </c>
      <c r="F22" s="82">
        <v>-17.794950460000003</v>
      </c>
      <c r="G22" s="82">
        <v>-17.654181890000004</v>
      </c>
      <c r="H22" s="82">
        <v>-6.1186093699999988</v>
      </c>
    </row>
    <row r="23" spans="1:8" ht="13.5" customHeight="1">
      <c r="A23" s="139" t="s">
        <v>107</v>
      </c>
      <c r="B23" s="202">
        <v>64.737704600000001</v>
      </c>
      <c r="C23" s="77">
        <v>56.694726320000001</v>
      </c>
      <c r="D23" s="77">
        <v>52.688257909999955</v>
      </c>
      <c r="E23" s="203">
        <v>65.093913230000055</v>
      </c>
      <c r="F23" s="77">
        <v>57.388199039999961</v>
      </c>
      <c r="G23" s="77">
        <v>72.796947409999945</v>
      </c>
      <c r="H23" s="77">
        <v>15.10097845999999</v>
      </c>
    </row>
    <row r="24" spans="1:8" ht="12" customHeight="1">
      <c r="A24" s="125" t="s">
        <v>109</v>
      </c>
      <c r="B24" s="204">
        <v>-13.77785658</v>
      </c>
      <c r="C24" s="82">
        <v>-12.034489900000001</v>
      </c>
      <c r="D24" s="82">
        <v>-10.457435910000001</v>
      </c>
      <c r="E24" s="205">
        <v>-15.235286989999999</v>
      </c>
      <c r="F24" s="82">
        <v>-12.181299550000002</v>
      </c>
      <c r="G24" s="82">
        <v>-17.454129039999998</v>
      </c>
      <c r="H24" s="82">
        <v>0.2920339999999999</v>
      </c>
    </row>
    <row r="25" spans="1:8" ht="14.25" customHeight="1">
      <c r="A25" s="206" t="s">
        <v>111</v>
      </c>
      <c r="B25" s="207">
        <v>50.959848020000003</v>
      </c>
      <c r="C25" s="208">
        <v>44.660236420000004</v>
      </c>
      <c r="D25" s="208">
        <v>42.230821999999961</v>
      </c>
      <c r="E25" s="209">
        <v>49.858626240000056</v>
      </c>
      <c r="F25" s="208">
        <v>45.206899489999962</v>
      </c>
      <c r="G25" s="208">
        <v>55.342818369999954</v>
      </c>
      <c r="H25" s="208">
        <v>15.393012459999994</v>
      </c>
    </row>
    <row r="26" spans="1:8" ht="14.25" customHeight="1">
      <c r="A26" s="215"/>
      <c r="B26" s="72"/>
      <c r="C26" s="72"/>
      <c r="D26" s="72"/>
      <c r="E26" s="72"/>
      <c r="F26" s="72"/>
      <c r="G26" s="72"/>
      <c r="H26" s="72"/>
    </row>
    <row r="27" spans="1:8" ht="14.25" customHeight="1">
      <c r="A27" s="139"/>
      <c r="B27" s="77"/>
      <c r="C27" s="77"/>
      <c r="D27" s="77"/>
      <c r="E27" s="77"/>
      <c r="F27" s="77"/>
      <c r="G27" s="77"/>
      <c r="H27" s="77"/>
    </row>
    <row r="28" spans="1:8" ht="18" customHeight="1">
      <c r="A28" s="230" t="s">
        <v>181</v>
      </c>
      <c r="B28" s="231"/>
      <c r="C28" s="231"/>
      <c r="D28" s="231"/>
      <c r="E28" s="231"/>
      <c r="F28" s="231"/>
      <c r="G28" s="232"/>
      <c r="H28" s="232"/>
    </row>
    <row r="29" spans="1:8" ht="12.75" customHeight="1">
      <c r="A29" s="68" t="s">
        <v>55</v>
      </c>
      <c r="B29" s="72"/>
      <c r="C29" s="72"/>
      <c r="D29" s="72"/>
      <c r="E29" s="72"/>
      <c r="F29" s="72"/>
      <c r="G29" s="72"/>
      <c r="H29" s="72"/>
    </row>
    <row r="30" spans="1:8" ht="13.5" customHeight="1">
      <c r="A30" s="72"/>
      <c r="B30" s="59">
        <v>42825</v>
      </c>
      <c r="C30" s="59">
        <v>42916</v>
      </c>
      <c r="D30" s="59">
        <v>43008</v>
      </c>
      <c r="E30" s="59">
        <v>43100</v>
      </c>
      <c r="F30" s="59">
        <v>43190</v>
      </c>
      <c r="G30" s="59">
        <v>43281</v>
      </c>
      <c r="H30" s="59">
        <v>43373</v>
      </c>
    </row>
    <row r="31" spans="1:8" s="86" customFormat="1">
      <c r="A31" s="125" t="s">
        <v>120</v>
      </c>
      <c r="B31" s="204">
        <v>492</v>
      </c>
      <c r="C31" s="82">
        <v>556</v>
      </c>
      <c r="D31" s="82">
        <v>329</v>
      </c>
      <c r="E31" s="205">
        <v>1093</v>
      </c>
      <c r="F31" s="82">
        <v>708</v>
      </c>
      <c r="G31" s="82">
        <v>584.26699999999994</v>
      </c>
      <c r="H31" s="82">
        <v>39.688999999999993</v>
      </c>
    </row>
    <row r="32" spans="1:8" s="86" customFormat="1">
      <c r="A32" s="125" t="s">
        <v>192</v>
      </c>
      <c r="B32" s="204">
        <v>4382</v>
      </c>
      <c r="C32" s="82">
        <v>4621</v>
      </c>
      <c r="D32" s="82">
        <v>4809</v>
      </c>
      <c r="E32" s="205">
        <v>5438</v>
      </c>
      <c r="F32" s="82">
        <v>4135</v>
      </c>
      <c r="G32" s="82">
        <v>4384.0569999999998</v>
      </c>
      <c r="H32" s="82">
        <v>0</v>
      </c>
    </row>
    <row r="33" spans="1:8" s="86" customFormat="1">
      <c r="A33" s="125" t="s">
        <v>705</v>
      </c>
      <c r="B33" s="204">
        <v>16743</v>
      </c>
      <c r="C33" s="82">
        <v>15454</v>
      </c>
      <c r="D33" s="82">
        <v>15894</v>
      </c>
      <c r="E33" s="205">
        <v>15479</v>
      </c>
      <c r="F33" s="82">
        <v>15783</v>
      </c>
      <c r="G33" s="82">
        <v>15556.897000000003</v>
      </c>
      <c r="H33" s="82">
        <v>1993.3819999999996</v>
      </c>
    </row>
    <row r="34" spans="1:8" s="86" customFormat="1">
      <c r="A34" s="125" t="s">
        <v>195</v>
      </c>
      <c r="B34" s="204">
        <v>14793</v>
      </c>
      <c r="C34" s="82">
        <v>14015</v>
      </c>
      <c r="D34" s="82">
        <v>14296</v>
      </c>
      <c r="E34" s="205">
        <v>14848</v>
      </c>
      <c r="F34" s="82">
        <v>14867</v>
      </c>
      <c r="G34" s="82">
        <v>15022.826000000003</v>
      </c>
      <c r="H34" s="82">
        <v>1993.3819999999996</v>
      </c>
    </row>
    <row r="35" spans="1:8" s="86" customFormat="1">
      <c r="A35" s="125" t="s">
        <v>140</v>
      </c>
      <c r="B35" s="204">
        <v>105</v>
      </c>
      <c r="C35" s="82">
        <v>98</v>
      </c>
      <c r="D35" s="82">
        <v>95</v>
      </c>
      <c r="E35" s="205">
        <v>93</v>
      </c>
      <c r="F35" s="82">
        <v>91</v>
      </c>
      <c r="G35" s="82">
        <v>88.138000000000005</v>
      </c>
      <c r="H35" s="82">
        <v>2.2000000000000002</v>
      </c>
    </row>
    <row r="36" spans="1:8" s="86" customFormat="1">
      <c r="A36" s="125" t="s">
        <v>144</v>
      </c>
      <c r="B36" s="204">
        <v>1113</v>
      </c>
      <c r="C36" s="82">
        <v>847</v>
      </c>
      <c r="D36" s="82">
        <v>835</v>
      </c>
      <c r="E36" s="205">
        <v>841</v>
      </c>
      <c r="F36" s="82">
        <v>1698</v>
      </c>
      <c r="G36" s="82">
        <v>1580.2509999999997</v>
      </c>
      <c r="H36" s="82">
        <v>867.15200000000004</v>
      </c>
    </row>
    <row r="37" spans="1:8">
      <c r="A37" s="206" t="s">
        <v>201</v>
      </c>
      <c r="B37" s="207">
        <v>22835</v>
      </c>
      <c r="C37" s="208">
        <v>21576</v>
      </c>
      <c r="D37" s="208">
        <v>21963</v>
      </c>
      <c r="E37" s="209">
        <v>22944</v>
      </c>
      <c r="F37" s="208">
        <v>22415</v>
      </c>
      <c r="G37" s="208">
        <v>22200.352950889999</v>
      </c>
      <c r="H37" s="208">
        <v>2909.1566187500002</v>
      </c>
    </row>
    <row r="38" spans="1:8">
      <c r="A38" s="125" t="s">
        <v>207</v>
      </c>
      <c r="B38" s="204">
        <v>2048</v>
      </c>
      <c r="C38" s="82">
        <v>1865</v>
      </c>
      <c r="D38" s="82">
        <v>2065</v>
      </c>
      <c r="E38" s="205">
        <v>2257</v>
      </c>
      <c r="F38" s="82">
        <v>2049</v>
      </c>
      <c r="G38" s="82">
        <v>2134.319</v>
      </c>
      <c r="H38" s="82">
        <v>0</v>
      </c>
    </row>
    <row r="39" spans="1:8" s="86" customFormat="1">
      <c r="A39" s="125" t="s">
        <v>203</v>
      </c>
      <c r="B39" s="204">
        <v>2003</v>
      </c>
      <c r="C39" s="82">
        <v>2053</v>
      </c>
      <c r="D39" s="82">
        <v>1977</v>
      </c>
      <c r="E39" s="205">
        <v>2064</v>
      </c>
      <c r="F39" s="82">
        <v>1875</v>
      </c>
      <c r="G39" s="82">
        <v>1534.2979999999998</v>
      </c>
      <c r="H39" s="82">
        <v>566.89299999999992</v>
      </c>
    </row>
    <row r="40" spans="1:8" s="86" customFormat="1">
      <c r="A40" s="125" t="s">
        <v>205</v>
      </c>
      <c r="B40" s="204">
        <v>9123</v>
      </c>
      <c r="C40" s="82">
        <v>8468</v>
      </c>
      <c r="D40" s="82">
        <v>8412</v>
      </c>
      <c r="E40" s="205">
        <v>9344</v>
      </c>
      <c r="F40" s="82">
        <v>8789</v>
      </c>
      <c r="G40" s="82">
        <v>9613.7580000000016</v>
      </c>
      <c r="H40" s="82">
        <v>14.069000000000074</v>
      </c>
    </row>
    <row r="41" spans="1:8" s="86" customFormat="1" ht="13.5" customHeight="1">
      <c r="A41" s="125" t="s">
        <v>209</v>
      </c>
      <c r="B41" s="204">
        <v>4857</v>
      </c>
      <c r="C41" s="82">
        <v>4452</v>
      </c>
      <c r="D41" s="82">
        <v>4597</v>
      </c>
      <c r="E41" s="205">
        <v>4663</v>
      </c>
      <c r="F41" s="82">
        <v>4960</v>
      </c>
      <c r="G41" s="82">
        <v>4658.9699999999993</v>
      </c>
      <c r="H41" s="82">
        <v>932.33600000000001</v>
      </c>
    </row>
    <row r="42" spans="1:8" s="86" customFormat="1">
      <c r="A42" s="125" t="s">
        <v>166</v>
      </c>
      <c r="B42" s="204">
        <v>4191</v>
      </c>
      <c r="C42" s="82">
        <v>4189</v>
      </c>
      <c r="D42" s="82">
        <v>4359</v>
      </c>
      <c r="E42" s="205">
        <v>4075</v>
      </c>
      <c r="F42" s="82">
        <v>4193</v>
      </c>
      <c r="G42" s="82">
        <v>3701.3974808899998</v>
      </c>
      <c r="H42" s="82">
        <v>1322.4952183900002</v>
      </c>
    </row>
    <row r="43" spans="1:8" s="86" customFormat="1" ht="12.75" customHeight="1">
      <c r="A43" s="125" t="s">
        <v>214</v>
      </c>
      <c r="B43" s="204">
        <v>612</v>
      </c>
      <c r="C43" s="82">
        <v>549</v>
      </c>
      <c r="D43" s="82">
        <v>552</v>
      </c>
      <c r="E43" s="205">
        <v>541</v>
      </c>
      <c r="F43" s="82">
        <v>548</v>
      </c>
      <c r="G43" s="82">
        <v>557.61046999999996</v>
      </c>
      <c r="H43" s="82">
        <v>73.363400359999986</v>
      </c>
    </row>
    <row r="44" spans="1:8" s="86" customFormat="1" ht="12.75" customHeight="1">
      <c r="A44" s="215"/>
      <c r="B44" s="69"/>
      <c r="C44" s="82"/>
      <c r="D44" s="82"/>
      <c r="E44" s="82"/>
      <c r="F44" s="82"/>
      <c r="G44" s="82"/>
      <c r="H44" s="82"/>
    </row>
    <row r="45" spans="1:8" ht="12.75" customHeight="1">
      <c r="A45" s="125"/>
      <c r="B45" s="69"/>
      <c r="C45" s="82"/>
      <c r="D45" s="82"/>
      <c r="E45" s="82"/>
      <c r="F45" s="82"/>
      <c r="G45" s="82"/>
      <c r="H45" s="82"/>
    </row>
    <row r="46" spans="1:8" ht="18">
      <c r="A46" s="230" t="s">
        <v>216</v>
      </c>
      <c r="B46" s="231"/>
      <c r="C46" s="231"/>
      <c r="D46" s="231"/>
      <c r="E46" s="231"/>
      <c r="F46" s="231"/>
      <c r="G46" s="232"/>
      <c r="H46" s="232"/>
    </row>
    <row r="47" spans="1:8" ht="13.5" customHeight="1">
      <c r="A47" s="68" t="s">
        <v>55</v>
      </c>
      <c r="B47" s="72"/>
      <c r="C47" s="72"/>
      <c r="D47" s="72"/>
      <c r="E47" s="72"/>
      <c r="F47" s="72"/>
      <c r="G47" s="72"/>
      <c r="H47" s="72"/>
    </row>
    <row r="48" spans="1:8" ht="12.75" customHeight="1">
      <c r="A48" s="72"/>
      <c r="B48" s="59">
        <v>42825</v>
      </c>
      <c r="C48" s="59">
        <v>42916</v>
      </c>
      <c r="D48" s="59">
        <v>43008</v>
      </c>
      <c r="E48" s="59">
        <v>43100</v>
      </c>
      <c r="F48" s="59">
        <v>43190</v>
      </c>
      <c r="G48" s="59">
        <v>43281</v>
      </c>
      <c r="H48" s="59">
        <v>43373</v>
      </c>
    </row>
    <row r="49" spans="1:8" ht="12" customHeight="1">
      <c r="A49" s="125" t="s">
        <v>218</v>
      </c>
      <c r="B49" s="214">
        <v>15041.0494979</v>
      </c>
      <c r="C49" s="69">
        <v>14240.054305469999</v>
      </c>
      <c r="D49" s="69">
        <v>14472.493656090001</v>
      </c>
      <c r="E49" s="69">
        <v>15067.485937309999</v>
      </c>
      <c r="F49" s="214">
        <v>14774.739795420001</v>
      </c>
      <c r="G49" s="69">
        <v>15283.287999999999</v>
      </c>
      <c r="H49" s="69">
        <v>2052.174</v>
      </c>
    </row>
    <row r="50" spans="1:8">
      <c r="A50" s="125" t="s">
        <v>549</v>
      </c>
      <c r="B50" s="214">
        <v>9656.0077299800014</v>
      </c>
      <c r="C50" s="69">
        <v>9001.0000615200006</v>
      </c>
      <c r="D50" s="69">
        <v>9136.0738829699985</v>
      </c>
      <c r="E50" s="69">
        <v>9674.777904300001</v>
      </c>
      <c r="F50" s="214">
        <v>9046.7731172300028</v>
      </c>
      <c r="G50" s="69">
        <v>9502.0499999999993</v>
      </c>
      <c r="H50" s="69">
        <v>14.068999999999999</v>
      </c>
    </row>
    <row r="51" spans="1:8">
      <c r="A51" s="125" t="s">
        <v>226</v>
      </c>
      <c r="B51" s="214">
        <v>1719.7439879999999</v>
      </c>
      <c r="C51" s="69">
        <v>1553.6019441999999</v>
      </c>
      <c r="D51" s="69">
        <v>1609.47822</v>
      </c>
      <c r="E51" s="69">
        <v>1294.9791909999999</v>
      </c>
      <c r="F51" s="214">
        <v>1501.3916460200001</v>
      </c>
      <c r="G51" s="69">
        <v>1397.59056803</v>
      </c>
      <c r="H51" s="82">
        <v>0</v>
      </c>
    </row>
    <row r="52" spans="1:8">
      <c r="A52" s="125" t="s">
        <v>377</v>
      </c>
      <c r="B52" s="213">
        <v>0</v>
      </c>
      <c r="C52" s="82">
        <v>0</v>
      </c>
      <c r="D52" s="82">
        <v>0</v>
      </c>
      <c r="E52" s="82">
        <v>0</v>
      </c>
      <c r="F52" s="213">
        <v>0</v>
      </c>
      <c r="G52" s="82" t="s">
        <v>744</v>
      </c>
      <c r="H52" s="82">
        <v>0</v>
      </c>
    </row>
    <row r="53" spans="1:8">
      <c r="A53" s="125" t="s">
        <v>540</v>
      </c>
      <c r="B53" s="213">
        <v>0</v>
      </c>
      <c r="C53" s="82">
        <v>0</v>
      </c>
      <c r="D53" s="82">
        <v>0</v>
      </c>
      <c r="E53" s="82">
        <v>0</v>
      </c>
      <c r="F53" s="213">
        <v>0</v>
      </c>
      <c r="G53" s="82" t="s">
        <v>744</v>
      </c>
      <c r="H53" s="82">
        <v>0</v>
      </c>
    </row>
    <row r="54" spans="1:8">
      <c r="A54" s="215" t="s">
        <v>538</v>
      </c>
      <c r="B54" s="69"/>
      <c r="C54" s="69"/>
      <c r="D54" s="69"/>
      <c r="E54" s="69"/>
      <c r="F54" s="69"/>
      <c r="G54" s="69"/>
      <c r="H54" s="69"/>
    </row>
    <row r="55" spans="1:8">
      <c r="A55" s="215" t="s">
        <v>500</v>
      </c>
      <c r="B55" s="72"/>
      <c r="C55" s="72"/>
      <c r="D55" s="72"/>
      <c r="E55" s="72"/>
      <c r="F55" s="72"/>
      <c r="G55" s="72"/>
      <c r="H55" s="72"/>
    </row>
    <row r="56" spans="1:8">
      <c r="A56" s="215"/>
      <c r="B56" s="72"/>
      <c r="C56" s="72"/>
      <c r="D56" s="72"/>
      <c r="E56" s="72"/>
      <c r="F56" s="72"/>
      <c r="G56" s="72"/>
      <c r="H56" s="72"/>
    </row>
    <row r="57" spans="1:8" ht="18">
      <c r="A57" s="230" t="s">
        <v>179</v>
      </c>
      <c r="B57" s="231"/>
      <c r="C57" s="231"/>
      <c r="D57" s="231"/>
      <c r="E57" s="231"/>
      <c r="F57" s="231"/>
      <c r="G57" s="232"/>
      <c r="H57" s="232"/>
    </row>
    <row r="58" spans="1:8">
      <c r="A58" s="68" t="s">
        <v>57</v>
      </c>
      <c r="B58" s="72"/>
      <c r="C58" s="72"/>
      <c r="D58" s="72"/>
      <c r="E58" s="72"/>
      <c r="F58" s="72"/>
      <c r="G58" s="72"/>
      <c r="H58" s="72"/>
    </row>
    <row r="59" spans="1:8">
      <c r="A59" s="201"/>
      <c r="B59" s="72"/>
      <c r="C59" s="200"/>
      <c r="D59" s="200"/>
      <c r="E59" s="200"/>
      <c r="F59" s="72"/>
      <c r="G59" s="212"/>
      <c r="H59" s="212"/>
    </row>
    <row r="60" spans="1:8" ht="15.75">
      <c r="A60" s="73"/>
      <c r="B60" s="315">
        <v>2017</v>
      </c>
      <c r="C60" s="316"/>
      <c r="D60" s="316"/>
      <c r="E60" s="316"/>
      <c r="F60" s="315">
        <v>2018</v>
      </c>
      <c r="G60" s="316"/>
      <c r="H60" s="316"/>
    </row>
    <row r="61" spans="1:8" ht="15.75">
      <c r="A61" s="73"/>
      <c r="B61" s="93" t="s">
        <v>751</v>
      </c>
      <c r="C61" s="93" t="s">
        <v>65</v>
      </c>
      <c r="D61" s="93" t="s">
        <v>752</v>
      </c>
      <c r="E61" s="93" t="s">
        <v>69</v>
      </c>
      <c r="F61" s="93" t="s">
        <v>751</v>
      </c>
      <c r="G61" s="93" t="s">
        <v>65</v>
      </c>
      <c r="H61" s="93" t="s">
        <v>752</v>
      </c>
    </row>
    <row r="62" spans="1:8">
      <c r="A62" s="139" t="s">
        <v>71</v>
      </c>
      <c r="B62" s="202">
        <v>139.05647432043293</v>
      </c>
      <c r="C62" s="77">
        <v>147.71575131680794</v>
      </c>
      <c r="D62" s="77">
        <v>144.35958526843274</v>
      </c>
      <c r="E62" s="203">
        <v>150.03275189770366</v>
      </c>
      <c r="F62" s="139">
        <v>150.77009474463361</v>
      </c>
      <c r="G62" s="139">
        <v>156.77303478904511</v>
      </c>
      <c r="H62" s="139">
        <v>43.610870466321259</v>
      </c>
    </row>
    <row r="63" spans="1:8">
      <c r="A63" s="125" t="s">
        <v>73</v>
      </c>
      <c r="B63" s="204">
        <v>20.958926081124304</v>
      </c>
      <c r="C63" s="82">
        <v>17.318763852306716</v>
      </c>
      <c r="D63" s="82">
        <v>18.694056916131977</v>
      </c>
      <c r="E63" s="205">
        <v>19.171003999316127</v>
      </c>
      <c r="F63" s="216">
        <v>19.027397667957068</v>
      </c>
      <c r="G63" s="216">
        <v>24.735233396854177</v>
      </c>
      <c r="H63" s="216">
        <v>7.9875990851887479</v>
      </c>
    </row>
    <row r="64" spans="1:8">
      <c r="A64" s="125" t="s">
        <v>75</v>
      </c>
      <c r="B64" s="204">
        <v>25.947292215914789</v>
      </c>
      <c r="C64" s="82">
        <v>16.159911388709936</v>
      </c>
      <c r="D64" s="82">
        <v>11.409406691544234</v>
      </c>
      <c r="E64" s="205">
        <v>15.235344552578239</v>
      </c>
      <c r="F64" s="216">
        <v>18.233986645196168</v>
      </c>
      <c r="G64" s="216">
        <v>18.936284848601076</v>
      </c>
      <c r="H64" s="216">
        <v>-9.3143853797183984E-2</v>
      </c>
    </row>
    <row r="65" spans="1:8" ht="17.25" customHeight="1">
      <c r="A65" s="125" t="s">
        <v>182</v>
      </c>
      <c r="B65" s="204">
        <v>3.1956618344832401</v>
      </c>
      <c r="C65" s="82">
        <v>7.9628537337297693</v>
      </c>
      <c r="D65" s="82">
        <v>7.8520253592523916</v>
      </c>
      <c r="E65" s="205">
        <v>5.0039676437433922</v>
      </c>
      <c r="F65" s="216">
        <v>4.4489245003700946</v>
      </c>
      <c r="G65" s="216">
        <v>4.3157231680236876</v>
      </c>
      <c r="H65" s="216">
        <v>-0.41064766839378358</v>
      </c>
    </row>
    <row r="66" spans="1:8" ht="15.75" customHeight="1">
      <c r="A66" s="139" t="s">
        <v>83</v>
      </c>
      <c r="B66" s="202">
        <v>189.15835445195529</v>
      </c>
      <c r="C66" s="77">
        <v>189.15728029155434</v>
      </c>
      <c r="D66" s="77">
        <v>182.31507423536138</v>
      </c>
      <c r="E66" s="203">
        <v>189.44306809334145</v>
      </c>
      <c r="F66" s="139">
        <v>192.48040355815689</v>
      </c>
      <c r="G66" s="139">
        <v>204.76027620252404</v>
      </c>
      <c r="H66" s="139">
        <v>51.094678029319041</v>
      </c>
    </row>
    <row r="67" spans="1:8">
      <c r="A67" s="125" t="s">
        <v>85</v>
      </c>
      <c r="B67" s="204">
        <v>-84.914882311696942</v>
      </c>
      <c r="C67" s="82">
        <v>-84.875188781634009</v>
      </c>
      <c r="D67" s="82">
        <v>-83.733493836559788</v>
      </c>
      <c r="E67" s="205">
        <v>-85.766006665332739</v>
      </c>
      <c r="F67" s="216">
        <v>-86.545729773182828</v>
      </c>
      <c r="G67" s="216">
        <v>-93.586654105632874</v>
      </c>
      <c r="H67" s="216">
        <v>-14.459395281184312</v>
      </c>
    </row>
    <row r="68" spans="1:8">
      <c r="A68" s="125" t="s">
        <v>87</v>
      </c>
      <c r="B68" s="204">
        <v>-81.291023028205316</v>
      </c>
      <c r="C68" s="82">
        <v>-81.335721727184236</v>
      </c>
      <c r="D68" s="82">
        <v>-79.946415027487348</v>
      </c>
      <c r="E68" s="205">
        <v>-81.685251352888699</v>
      </c>
      <c r="F68" s="216">
        <v>-82.155019188430799</v>
      </c>
      <c r="G68" s="216">
        <v>-87.696195186313844</v>
      </c>
      <c r="H68" s="216">
        <v>-13.797564785255371</v>
      </c>
    </row>
    <row r="69" spans="1:8">
      <c r="A69" s="227" t="s">
        <v>89</v>
      </c>
      <c r="B69" s="204">
        <v>-42.515438314944134</v>
      </c>
      <c r="C69" s="82">
        <v>-44.263911172439698</v>
      </c>
      <c r="D69" s="82">
        <v>-44.218725569659128</v>
      </c>
      <c r="E69" s="205">
        <v>-45.17765129189479</v>
      </c>
      <c r="F69" s="216">
        <v>-44.521805329385636</v>
      </c>
      <c r="G69" s="216">
        <v>-52.941116210214659</v>
      </c>
      <c r="H69" s="216">
        <v>-4.8000784603997051</v>
      </c>
    </row>
    <row r="70" spans="1:8">
      <c r="A70" s="227" t="s">
        <v>91</v>
      </c>
      <c r="B70" s="204">
        <v>-38.775584713261175</v>
      </c>
      <c r="C70" s="82">
        <v>-37.071810554744545</v>
      </c>
      <c r="D70" s="82">
        <v>-35.72768945782822</v>
      </c>
      <c r="E70" s="205">
        <v>-36.507600060993909</v>
      </c>
      <c r="F70" s="216">
        <v>-37.633213859045156</v>
      </c>
      <c r="G70" s="216">
        <v>-34.755078976099185</v>
      </c>
      <c r="H70" s="216">
        <v>-8.9974863248556662</v>
      </c>
    </row>
    <row r="71" spans="1:8" ht="13.5" customHeight="1">
      <c r="A71" s="125" t="s">
        <v>93</v>
      </c>
      <c r="B71" s="204">
        <v>-3.6238592834916199</v>
      </c>
      <c r="C71" s="82">
        <v>-3.5394670544497657</v>
      </c>
      <c r="D71" s="82">
        <v>-3.787078809072451</v>
      </c>
      <c r="E71" s="205">
        <v>-4.0807553124440403</v>
      </c>
      <c r="F71" s="216">
        <v>-4.3907105847520347</v>
      </c>
      <c r="G71" s="216">
        <v>-5.8904589193190251</v>
      </c>
      <c r="H71" s="216">
        <v>-0.66183049592894128</v>
      </c>
    </row>
    <row r="72" spans="1:8" ht="14.25" customHeight="1">
      <c r="A72" s="139" t="s">
        <v>95</v>
      </c>
      <c r="B72" s="202">
        <v>104.24347214025836</v>
      </c>
      <c r="C72" s="77">
        <v>104.28209150992035</v>
      </c>
      <c r="D72" s="77">
        <v>98.581580398801577</v>
      </c>
      <c r="E72" s="203">
        <v>103.67706142800873</v>
      </c>
      <c r="F72" s="139">
        <v>105.93467378497405</v>
      </c>
      <c r="G72" s="139">
        <v>111.17362209689119</v>
      </c>
      <c r="H72" s="139">
        <v>36.635282748134735</v>
      </c>
    </row>
    <row r="73" spans="1:8">
      <c r="A73" s="125" t="s">
        <v>97</v>
      </c>
      <c r="B73" s="204">
        <v>-30.475619115530726</v>
      </c>
      <c r="C73" s="82">
        <v>-28.929112082775195</v>
      </c>
      <c r="D73" s="82">
        <v>-24.926693273689693</v>
      </c>
      <c r="E73" s="205">
        <v>-26.506793227608824</v>
      </c>
      <c r="F73" s="216">
        <v>-33.41676091783863</v>
      </c>
      <c r="G73" s="216">
        <v>-22.410384159881581</v>
      </c>
      <c r="H73" s="216">
        <v>-14.42885492227979</v>
      </c>
    </row>
    <row r="74" spans="1:8" ht="16.5" customHeight="1">
      <c r="A74" s="125" t="s">
        <v>291</v>
      </c>
      <c r="B74" s="204">
        <v>2.7339539197486027</v>
      </c>
      <c r="C74" s="82">
        <v>-3.9440389521002834</v>
      </c>
      <c r="D74" s="82">
        <v>-3.5190071258420561</v>
      </c>
      <c r="E74" s="205">
        <v>1.9703199480105864</v>
      </c>
      <c r="F74" s="216">
        <v>1.6635366395262767</v>
      </c>
      <c r="G74" s="216">
        <v>0.48276898889711384</v>
      </c>
      <c r="H74" s="216">
        <v>1.2199823715766103</v>
      </c>
    </row>
    <row r="75" spans="1:8" ht="12.75" customHeight="1">
      <c r="A75" s="139" t="s">
        <v>103</v>
      </c>
      <c r="B75" s="202">
        <v>76.501806944476243</v>
      </c>
      <c r="C75" s="77">
        <v>71.408940475044858</v>
      </c>
      <c r="D75" s="77">
        <v>70.135879999269818</v>
      </c>
      <c r="E75" s="203">
        <v>79.140588148410501</v>
      </c>
      <c r="F75" s="139">
        <v>74.181449506661707</v>
      </c>
      <c r="G75" s="139">
        <v>89.246006925906727</v>
      </c>
      <c r="H75" s="139">
        <v>23.426410197431544</v>
      </c>
    </row>
    <row r="76" spans="1:8" ht="13.5" customHeight="1">
      <c r="A76" s="125" t="s">
        <v>105</v>
      </c>
      <c r="B76" s="204">
        <v>-16.239683877576816</v>
      </c>
      <c r="C76" s="82">
        <v>-15.967396339399594</v>
      </c>
      <c r="D76" s="82">
        <v>-16.791565985215865</v>
      </c>
      <c r="E76" s="205">
        <v>-14.581928671983556</v>
      </c>
      <c r="F76" s="216">
        <v>-17.557860076373057</v>
      </c>
      <c r="G76" s="216">
        <v>-17.418967031361955</v>
      </c>
      <c r="H76" s="216">
        <v>-6.5909146122649869</v>
      </c>
    </row>
    <row r="77" spans="1:8" ht="12.75" customHeight="1">
      <c r="A77" s="139" t="s">
        <v>107</v>
      </c>
      <c r="B77" s="202">
        <v>60.262123066899413</v>
      </c>
      <c r="C77" s="77">
        <v>55.441544135645273</v>
      </c>
      <c r="D77" s="77">
        <v>53.344314014053964</v>
      </c>
      <c r="E77" s="203">
        <v>64.558659476426925</v>
      </c>
      <c r="F77" s="139">
        <v>56.623589430288646</v>
      </c>
      <c r="G77" s="139">
        <v>71.827039894544768</v>
      </c>
      <c r="H77" s="139">
        <v>16.835495585166559</v>
      </c>
    </row>
    <row r="78" spans="1:8" ht="12.75" customHeight="1">
      <c r="A78" s="125" t="s">
        <v>109</v>
      </c>
      <c r="B78" s="204">
        <v>-12.82533716560056</v>
      </c>
      <c r="C78" s="82">
        <v>-11.769271739217166</v>
      </c>
      <c r="D78" s="82">
        <v>-10.618515585983438</v>
      </c>
      <c r="E78" s="205">
        <v>-15.084500039264778</v>
      </c>
      <c r="F78" s="216">
        <v>-12.019002442746114</v>
      </c>
      <c r="G78" s="216">
        <v>-17.221579578327162</v>
      </c>
      <c r="H78" s="216">
        <v>-0.10281256892672314</v>
      </c>
    </row>
    <row r="79" spans="1:8" ht="15" customHeight="1">
      <c r="A79" s="206" t="s">
        <v>111</v>
      </c>
      <c r="B79" s="207">
        <v>47.436785901298862</v>
      </c>
      <c r="C79" s="208">
        <v>43.672272396428113</v>
      </c>
      <c r="D79" s="208">
        <v>42.725798428070519</v>
      </c>
      <c r="E79" s="209">
        <v>49.474159437162157</v>
      </c>
      <c r="F79" s="206">
        <v>44.60458698754254</v>
      </c>
      <c r="G79" s="206">
        <v>54.605460316217609</v>
      </c>
      <c r="H79" s="206">
        <v>16.732683016239836</v>
      </c>
    </row>
    <row r="80" spans="1:8" s="86" customFormat="1" ht="15" customHeight="1">
      <c r="A80" s="215"/>
      <c r="B80" s="77"/>
      <c r="C80" s="77"/>
      <c r="D80" s="77"/>
      <c r="E80" s="77"/>
      <c r="F80" s="139"/>
      <c r="G80" s="139"/>
      <c r="H80" s="139"/>
    </row>
    <row r="81" spans="1:8" s="86" customFormat="1" ht="15" customHeight="1">
      <c r="A81" s="139"/>
      <c r="B81" s="77"/>
      <c r="C81" s="77"/>
      <c r="D81" s="77"/>
      <c r="E81" s="77"/>
      <c r="F81" s="139"/>
      <c r="G81" s="139"/>
      <c r="H81" s="139"/>
    </row>
    <row r="82" spans="1:8" ht="17.25" customHeight="1">
      <c r="A82" s="230" t="s">
        <v>181</v>
      </c>
      <c r="B82" s="231"/>
      <c r="C82" s="231"/>
      <c r="D82" s="231"/>
      <c r="E82" s="231"/>
      <c r="F82" s="231"/>
      <c r="G82" s="232"/>
      <c r="H82" s="232"/>
    </row>
    <row r="83" spans="1:8">
      <c r="A83" s="68" t="s">
        <v>57</v>
      </c>
      <c r="B83" s="72"/>
      <c r="C83" s="72"/>
      <c r="D83" s="72"/>
      <c r="E83" s="72"/>
      <c r="F83" s="72"/>
      <c r="G83" s="72"/>
      <c r="H83" s="72"/>
    </row>
    <row r="84" spans="1:8" ht="15.75">
      <c r="A84" s="72"/>
      <c r="B84" s="59">
        <v>42825</v>
      </c>
      <c r="C84" s="59">
        <v>42916</v>
      </c>
      <c r="D84" s="59">
        <v>43008</v>
      </c>
      <c r="E84" s="59">
        <v>43100</v>
      </c>
      <c r="F84" s="59">
        <v>43190</v>
      </c>
      <c r="G84" s="59">
        <v>43281</v>
      </c>
      <c r="H84" s="59">
        <v>43373</v>
      </c>
    </row>
    <row r="85" spans="1:8" s="86" customFormat="1">
      <c r="A85" s="125" t="s">
        <v>120</v>
      </c>
      <c r="B85" s="204">
        <v>455.4018300283285</v>
      </c>
      <c r="C85" s="82">
        <v>549.79139742619236</v>
      </c>
      <c r="D85" s="82">
        <v>323.24089172932338</v>
      </c>
      <c r="E85" s="205">
        <v>1053.9092295202954</v>
      </c>
      <c r="F85" s="82">
        <v>689.56605219985067</v>
      </c>
      <c r="G85" s="82">
        <v>576.32379305135942</v>
      </c>
      <c r="H85" s="82">
        <v>39.688999999999993</v>
      </c>
    </row>
    <row r="86" spans="1:8" s="86" customFormat="1">
      <c r="A86" s="125" t="s">
        <v>192</v>
      </c>
      <c r="B86" s="204">
        <v>4053.085906515581</v>
      </c>
      <c r="C86" s="82">
        <v>4568.932743376231</v>
      </c>
      <c r="D86" s="82">
        <v>4722.3840571428582</v>
      </c>
      <c r="E86" s="205">
        <v>5241.4647380073802</v>
      </c>
      <c r="F86" s="82">
        <v>4027.284249067859</v>
      </c>
      <c r="G86" s="82">
        <v>4324.4550166163135</v>
      </c>
      <c r="H86" s="82">
        <v>0</v>
      </c>
    </row>
    <row r="87" spans="1:8" s="86" customFormat="1">
      <c r="A87" s="125" t="s">
        <v>705</v>
      </c>
      <c r="B87" s="204">
        <v>15485.645269121829</v>
      </c>
      <c r="C87" s="82">
        <v>15278.340358819083</v>
      </c>
      <c r="D87" s="82">
        <v>15607.132060150378</v>
      </c>
      <c r="E87" s="205">
        <v>14918.829318081182</v>
      </c>
      <c r="F87" s="82">
        <v>15370.701612229683</v>
      </c>
      <c r="G87" s="82">
        <v>15345.398400302114</v>
      </c>
      <c r="H87" s="82">
        <v>1993.3819999999996</v>
      </c>
    </row>
    <row r="88" spans="1:8" s="86" customFormat="1">
      <c r="A88" s="125" t="s">
        <v>195</v>
      </c>
      <c r="B88" s="204">
        <v>13682.119389518428</v>
      </c>
      <c r="C88" s="82">
        <v>13855.945209689629</v>
      </c>
      <c r="D88" s="82">
        <v>14038.479748872185</v>
      </c>
      <c r="E88" s="205">
        <v>14310.979328413281</v>
      </c>
      <c r="F88" s="82">
        <v>14478.75230723341</v>
      </c>
      <c r="G88" s="82">
        <v>14818.588184290031</v>
      </c>
      <c r="H88" s="82">
        <v>1993.3819999999996</v>
      </c>
    </row>
    <row r="89" spans="1:8" s="86" customFormat="1">
      <c r="A89" s="125" t="s">
        <v>140</v>
      </c>
      <c r="B89" s="204">
        <v>97.237804532577925</v>
      </c>
      <c r="C89" s="82">
        <v>96.651909159727495</v>
      </c>
      <c r="D89" s="82">
        <v>93.425151879699229</v>
      </c>
      <c r="E89" s="205">
        <v>89.352568265682649</v>
      </c>
      <c r="F89" s="82">
        <v>88.406753169276655</v>
      </c>
      <c r="G89" s="82">
        <v>86.939749244712985</v>
      </c>
      <c r="H89" s="82">
        <v>2.2000000000000002</v>
      </c>
    </row>
    <row r="90" spans="1:8" s="86" customFormat="1">
      <c r="A90" s="125" t="s">
        <v>144</v>
      </c>
      <c r="B90" s="204">
        <v>1029.4550824926307</v>
      </c>
      <c r="C90" s="82">
        <v>837.08592715377358</v>
      </c>
      <c r="D90" s="82">
        <v>820.29306187263137</v>
      </c>
      <c r="E90" s="205">
        <v>810.86777613377649</v>
      </c>
      <c r="F90" s="82">
        <v>1654.0426696495156</v>
      </c>
      <c r="G90" s="82">
        <v>1558.7672250755286</v>
      </c>
      <c r="H90" s="82">
        <v>867.15200000000004</v>
      </c>
    </row>
    <row r="91" spans="1:8">
      <c r="A91" s="206" t="s">
        <v>201</v>
      </c>
      <c r="B91" s="208">
        <v>21120.825892690948</v>
      </c>
      <c r="C91" s="208">
        <v>21330.802335935008</v>
      </c>
      <c r="D91" s="208">
        <v>21566.47522277489</v>
      </c>
      <c r="E91" s="208">
        <v>22114.423630008314</v>
      </c>
      <c r="F91" s="208">
        <v>21830.001336316189</v>
      </c>
      <c r="G91" s="208">
        <v>21898.535463642249</v>
      </c>
      <c r="H91" s="208">
        <v>2909.1566187500002</v>
      </c>
    </row>
    <row r="92" spans="1:8">
      <c r="A92" s="125" t="s">
        <v>207</v>
      </c>
      <c r="B92" s="204">
        <v>1894.4621416430593</v>
      </c>
      <c r="C92" s="82">
        <v>1843.4738697956095</v>
      </c>
      <c r="D92" s="82">
        <v>2027.7721924812029</v>
      </c>
      <c r="E92" s="205">
        <v>2175.5810642066417</v>
      </c>
      <c r="F92" s="82">
        <v>1995.7598583146903</v>
      </c>
      <c r="G92" s="82">
        <v>2105.3025785498489</v>
      </c>
      <c r="H92" s="82">
        <v>0</v>
      </c>
    </row>
    <row r="93" spans="1:8" s="86" customFormat="1">
      <c r="A93" s="125" t="s">
        <v>203</v>
      </c>
      <c r="B93" s="204">
        <v>1852.7857577903692</v>
      </c>
      <c r="C93" s="82">
        <v>2029.9906404239211</v>
      </c>
      <c r="D93" s="82">
        <v>1941.7166120300756</v>
      </c>
      <c r="E93" s="205">
        <v>1989.7560590405908</v>
      </c>
      <c r="F93" s="82">
        <v>1826.5174511558541</v>
      </c>
      <c r="G93" s="82">
        <v>1513.4389637462234</v>
      </c>
      <c r="H93" s="82">
        <v>566.89299999999992</v>
      </c>
    </row>
    <row r="94" spans="1:8" s="86" customFormat="1">
      <c r="A94" s="125" t="s">
        <v>205</v>
      </c>
      <c r="B94" s="204">
        <v>8438.5219900849879</v>
      </c>
      <c r="C94" s="82">
        <v>8371.4906479939455</v>
      </c>
      <c r="D94" s="82">
        <v>8260.6562105263147</v>
      </c>
      <c r="E94" s="205">
        <v>9005.9080531365325</v>
      </c>
      <c r="F94" s="82">
        <v>8559.9379075316938</v>
      </c>
      <c r="G94" s="82">
        <v>9483.0573625377656</v>
      </c>
      <c r="H94" s="82">
        <v>14.069000000000074</v>
      </c>
    </row>
    <row r="95" spans="1:8" s="86" customFormat="1">
      <c r="A95" s="125" t="s">
        <v>209</v>
      </c>
      <c r="B95" s="204">
        <v>4491.9398286119003</v>
      </c>
      <c r="C95" s="82">
        <v>4401.7538682816057</v>
      </c>
      <c r="D95" s="82">
        <v>4513.959222556392</v>
      </c>
      <c r="E95" s="205">
        <v>4494.0346730627316</v>
      </c>
      <c r="F95" s="82">
        <v>4831.0089202087993</v>
      </c>
      <c r="G95" s="82">
        <v>4595.6305287009054</v>
      </c>
      <c r="H95" s="82">
        <v>932.33600000000001</v>
      </c>
    </row>
    <row r="96" spans="1:8" s="86" customFormat="1">
      <c r="A96" s="125" t="s">
        <v>166</v>
      </c>
      <c r="B96" s="204">
        <v>3876.6877328042533</v>
      </c>
      <c r="C96" s="82">
        <v>4141.8171362680851</v>
      </c>
      <c r="D96" s="82">
        <v>4279.9674942393267</v>
      </c>
      <c r="E96" s="205">
        <v>3927.3299066534951</v>
      </c>
      <c r="F96" s="82">
        <v>4083.2828138344407</v>
      </c>
      <c r="G96" s="82">
        <v>3651.0763671014629</v>
      </c>
      <c r="H96" s="82">
        <v>1322.4952183900002</v>
      </c>
    </row>
    <row r="97" spans="1:9" s="86" customFormat="1" ht="12" customHeight="1">
      <c r="A97" s="125" t="s">
        <v>214</v>
      </c>
      <c r="B97" s="204">
        <v>566.42844175637379</v>
      </c>
      <c r="C97" s="82">
        <v>542.27617317183945</v>
      </c>
      <c r="D97" s="82">
        <v>542.40349094157898</v>
      </c>
      <c r="E97" s="205">
        <v>521.81387390830992</v>
      </c>
      <c r="F97" s="82">
        <v>533.49438527069356</v>
      </c>
      <c r="G97" s="82">
        <v>550.02966300604214</v>
      </c>
      <c r="H97" s="82">
        <v>73.363400359999986</v>
      </c>
    </row>
    <row r="98" spans="1:9" s="86" customFormat="1" ht="12" customHeight="1">
      <c r="A98" s="215"/>
      <c r="B98" s="69"/>
      <c r="C98" s="82"/>
      <c r="D98" s="82"/>
      <c r="E98" s="82"/>
      <c r="F98" s="82"/>
      <c r="G98" s="82"/>
      <c r="H98" s="82"/>
    </row>
    <row r="99" spans="1:9" ht="12" customHeight="1">
      <c r="A99" s="125"/>
      <c r="B99" s="69"/>
      <c r="C99" s="82"/>
      <c r="D99" s="82"/>
      <c r="E99" s="82"/>
      <c r="F99" s="82"/>
      <c r="G99" s="82"/>
      <c r="H99" s="82"/>
    </row>
    <row r="100" spans="1:9" ht="18">
      <c r="A100" s="230" t="s">
        <v>216</v>
      </c>
      <c r="B100" s="231"/>
      <c r="C100" s="231"/>
      <c r="D100" s="231"/>
      <c r="E100" s="231"/>
      <c r="F100" s="231"/>
      <c r="G100" s="232"/>
      <c r="H100" s="232"/>
    </row>
    <row r="101" spans="1:9">
      <c r="A101" s="68" t="s">
        <v>57</v>
      </c>
      <c r="B101" s="72"/>
      <c r="C101" s="72"/>
      <c r="D101" s="72"/>
      <c r="E101" s="72"/>
      <c r="F101" s="72"/>
      <c r="G101" s="72"/>
      <c r="H101" s="72"/>
    </row>
    <row r="102" spans="1:9" ht="15.75">
      <c r="A102" s="72"/>
      <c r="B102" s="59">
        <v>42825</v>
      </c>
      <c r="C102" s="59">
        <v>42916</v>
      </c>
      <c r="D102" s="59">
        <v>43008</v>
      </c>
      <c r="E102" s="59">
        <v>43100</v>
      </c>
      <c r="F102" s="59">
        <v>43190</v>
      </c>
      <c r="G102" s="59">
        <v>43281</v>
      </c>
      <c r="H102" s="59">
        <v>43373</v>
      </c>
    </row>
    <row r="103" spans="1:9">
      <c r="A103" s="125" t="s">
        <v>218</v>
      </c>
      <c r="B103" s="214">
        <v>13911.905555423091</v>
      </c>
      <c r="C103" s="69">
        <v>14078.358003742485</v>
      </c>
      <c r="D103" s="69">
        <v>14211.335875829731</v>
      </c>
      <c r="E103" s="69">
        <v>14522.610062086243</v>
      </c>
      <c r="F103" s="214">
        <v>14389.120188529847</v>
      </c>
      <c r="G103" s="69">
        <v>15075.509160120844</v>
      </c>
      <c r="H103" s="69">
        <v>2052.174</v>
      </c>
    </row>
    <row r="104" spans="1:9">
      <c r="A104" s="125" t="s">
        <v>549</v>
      </c>
      <c r="B104" s="214">
        <v>8931.1232969928351</v>
      </c>
      <c r="C104" s="69">
        <v>8898.7933992014569</v>
      </c>
      <c r="D104" s="69">
        <v>8971.2123993675341</v>
      </c>
      <c r="E104" s="69">
        <v>9324.9150870965332</v>
      </c>
      <c r="F104" s="214">
        <v>8810.6530134991699</v>
      </c>
      <c r="G104" s="69">
        <v>9372.3861954193053</v>
      </c>
      <c r="H104" s="69">
        <v>14.068999999999999</v>
      </c>
    </row>
    <row r="105" spans="1:9">
      <c r="A105" s="125" t="s">
        <v>226</v>
      </c>
      <c r="B105" s="214">
        <v>1590.6413940000002</v>
      </c>
      <c r="C105" s="69">
        <v>1535.9607412</v>
      </c>
      <c r="D105" s="69">
        <v>1580.4350040000002</v>
      </c>
      <c r="E105" s="69">
        <v>1248.1496852</v>
      </c>
      <c r="F105" s="214">
        <v>1462.2054360194784</v>
      </c>
      <c r="G105" s="69">
        <v>1378.5900920295921</v>
      </c>
      <c r="H105" s="69">
        <v>0</v>
      </c>
    </row>
    <row r="106" spans="1:9">
      <c r="A106" s="125" t="s">
        <v>377</v>
      </c>
      <c r="B106" s="214">
        <v>0</v>
      </c>
      <c r="C106" s="69">
        <v>0</v>
      </c>
      <c r="D106" s="69">
        <v>0</v>
      </c>
      <c r="E106" s="69">
        <v>0</v>
      </c>
      <c r="F106" s="214">
        <v>0</v>
      </c>
      <c r="G106" s="82">
        <v>0</v>
      </c>
      <c r="H106" s="69">
        <v>0</v>
      </c>
    </row>
    <row r="107" spans="1:9">
      <c r="A107" s="125" t="s">
        <v>540</v>
      </c>
      <c r="B107" s="214">
        <v>0</v>
      </c>
      <c r="C107" s="69">
        <v>0</v>
      </c>
      <c r="D107" s="69">
        <v>0</v>
      </c>
      <c r="E107" s="69">
        <v>0</v>
      </c>
      <c r="F107" s="214">
        <v>0</v>
      </c>
      <c r="G107" s="82">
        <v>0</v>
      </c>
      <c r="H107" s="69">
        <v>0</v>
      </c>
    </row>
    <row r="108" spans="1:9">
      <c r="A108" s="215" t="s">
        <v>538</v>
      </c>
      <c r="B108" s="212"/>
      <c r="C108" s="216"/>
      <c r="D108" s="216"/>
      <c r="E108" s="216"/>
      <c r="F108" s="216"/>
      <c r="G108" s="72"/>
      <c r="H108" s="72"/>
    </row>
    <row r="109" spans="1:9">
      <c r="A109" s="215" t="s">
        <v>500</v>
      </c>
      <c r="B109" s="212"/>
      <c r="C109" s="216"/>
      <c r="D109" s="216"/>
      <c r="E109" s="216"/>
      <c r="F109" s="216"/>
      <c r="G109" s="72"/>
      <c r="H109" s="72"/>
    </row>
    <row r="110" spans="1:9">
      <c r="A110" s="215"/>
      <c r="B110" s="212"/>
      <c r="C110" s="216"/>
      <c r="D110" s="216"/>
      <c r="E110" s="216"/>
      <c r="F110" s="216"/>
      <c r="G110" s="72"/>
      <c r="H110" s="72"/>
    </row>
    <row r="111" spans="1:9" s="229" customFormat="1" ht="18">
      <c r="A111" s="230" t="s">
        <v>179</v>
      </c>
      <c r="B111" s="231"/>
      <c r="C111" s="231"/>
      <c r="D111" s="231"/>
      <c r="E111" s="231"/>
      <c r="F111" s="231"/>
      <c r="G111" s="232"/>
      <c r="H111" s="232"/>
      <c r="I111" s="311"/>
    </row>
    <row r="112" spans="1:9" ht="15.75" customHeight="1">
      <c r="A112" s="68" t="s">
        <v>579</v>
      </c>
      <c r="B112" s="72"/>
      <c r="C112" s="72"/>
      <c r="D112" s="72"/>
      <c r="E112" s="72"/>
      <c r="F112" s="72"/>
      <c r="G112" s="72"/>
      <c r="H112" s="72"/>
    </row>
    <row r="113" spans="1:8" ht="15.75" customHeight="1">
      <c r="A113" s="201"/>
      <c r="B113" s="72"/>
      <c r="C113" s="200"/>
      <c r="D113" s="200"/>
      <c r="E113" s="200"/>
      <c r="F113" s="72"/>
      <c r="G113" s="212"/>
      <c r="H113" s="212"/>
    </row>
    <row r="114" spans="1:8" ht="15.75">
      <c r="A114" s="73"/>
      <c r="B114" s="315">
        <v>2017</v>
      </c>
      <c r="C114" s="316"/>
      <c r="D114" s="316"/>
      <c r="E114" s="316"/>
      <c r="F114" s="315">
        <v>2018</v>
      </c>
      <c r="G114" s="316"/>
      <c r="H114" s="316"/>
    </row>
    <row r="115" spans="1:8" ht="15.75">
      <c r="A115" s="73"/>
      <c r="B115" s="93" t="s">
        <v>751</v>
      </c>
      <c r="C115" s="93" t="s">
        <v>65</v>
      </c>
      <c r="D115" s="93" t="s">
        <v>752</v>
      </c>
      <c r="E115" s="93" t="s">
        <v>69</v>
      </c>
      <c r="F115" s="93" t="s">
        <v>751</v>
      </c>
      <c r="G115" s="93" t="s">
        <v>65</v>
      </c>
      <c r="H115" s="93" t="s">
        <v>752</v>
      </c>
    </row>
    <row r="116" spans="1:8">
      <c r="A116" s="139" t="s">
        <v>71</v>
      </c>
      <c r="B116" s="202">
        <v>104318.435349162</v>
      </c>
      <c r="C116" s="77">
        <v>110814.51711688517</v>
      </c>
      <c r="D116" s="77">
        <v>108296.7631421101</v>
      </c>
      <c r="E116" s="203">
        <v>112552.70209880249</v>
      </c>
      <c r="F116" s="139">
        <v>113105.84752035528</v>
      </c>
      <c r="G116" s="139">
        <v>117609.17838638043</v>
      </c>
      <c r="H116" s="139">
        <v>32716.331932724119</v>
      </c>
    </row>
    <row r="117" spans="1:8">
      <c r="A117" s="125" t="s">
        <v>73</v>
      </c>
      <c r="B117" s="204">
        <v>15723.125342178771</v>
      </c>
      <c r="C117" s="82">
        <v>12992.320969472405</v>
      </c>
      <c r="D117" s="82">
        <v>14024.048699273801</v>
      </c>
      <c r="E117" s="205">
        <v>14381.848461602494</v>
      </c>
      <c r="F117" s="216">
        <v>14274.116780162843</v>
      </c>
      <c r="G117" s="216">
        <v>18556.064063656551</v>
      </c>
      <c r="H117" s="216">
        <v>5992.1973632323652</v>
      </c>
    </row>
    <row r="118" spans="1:8">
      <c r="A118" s="125" t="s">
        <v>75</v>
      </c>
      <c r="B118" s="204">
        <v>19465.335495810054</v>
      </c>
      <c r="C118" s="82">
        <v>12122.964282603098</v>
      </c>
      <c r="D118" s="82">
        <v>8559.1948173625497</v>
      </c>
      <c r="E118" s="205">
        <v>11429.365755872685</v>
      </c>
      <c r="F118" s="216">
        <v>13678.909711324915</v>
      </c>
      <c r="G118" s="216">
        <v>14205.765077720236</v>
      </c>
      <c r="H118" s="216">
        <v>-69.875359187683344</v>
      </c>
    </row>
    <row r="119" spans="1:8">
      <c r="A119" s="125" t="s">
        <v>182</v>
      </c>
      <c r="B119" s="204">
        <v>2397.3457122905029</v>
      </c>
      <c r="C119" s="82">
        <v>5973.6337087245083</v>
      </c>
      <c r="D119" s="82">
        <v>5890.4916423498798</v>
      </c>
      <c r="E119" s="205">
        <v>3753.9142113603839</v>
      </c>
      <c r="F119" s="216">
        <v>3337.5277572168752</v>
      </c>
      <c r="G119" s="216">
        <v>3237.6017764618814</v>
      </c>
      <c r="H119" s="216">
        <v>-308.06276698708393</v>
      </c>
    </row>
    <row r="120" spans="1:8">
      <c r="A120" s="139" t="s">
        <v>83</v>
      </c>
      <c r="B120" s="202">
        <v>141904.24189944135</v>
      </c>
      <c r="C120" s="77">
        <v>141903.43607768515</v>
      </c>
      <c r="D120" s="77">
        <v>136770.49830109632</v>
      </c>
      <c r="E120" s="203">
        <v>142117.83052763803</v>
      </c>
      <c r="F120" s="139">
        <v>144396.40176905994</v>
      </c>
      <c r="G120" s="139">
        <v>153608.60930421914</v>
      </c>
      <c r="H120" s="139">
        <v>38330.591169781714</v>
      </c>
    </row>
    <row r="121" spans="1:8">
      <c r="A121" s="125" t="s">
        <v>85</v>
      </c>
      <c r="B121" s="204">
        <v>-63702.087255586601</v>
      </c>
      <c r="C121" s="82">
        <v>-63672.309663641405</v>
      </c>
      <c r="D121" s="82">
        <v>-62815.824333503224</v>
      </c>
      <c r="E121" s="205">
        <v>-64340.590146536189</v>
      </c>
      <c r="F121" s="216">
        <v>-64925.528712065134</v>
      </c>
      <c r="G121" s="216">
        <v>-70207.542464840866</v>
      </c>
      <c r="H121" s="216">
        <v>-10847.258275457094</v>
      </c>
    </row>
    <row r="122" spans="1:8">
      <c r="A122" s="125" t="s">
        <v>87</v>
      </c>
      <c r="B122" s="204">
        <v>-60983.513149441351</v>
      </c>
      <c r="C122" s="82">
        <v>-61017.045556777368</v>
      </c>
      <c r="D122" s="82">
        <v>-59974.804971858473</v>
      </c>
      <c r="E122" s="205">
        <v>-61279.258329248827</v>
      </c>
      <c r="F122" s="216">
        <v>-61631.672309400441</v>
      </c>
      <c r="G122" s="216">
        <v>-65788.593538119923</v>
      </c>
      <c r="H122" s="216">
        <v>-10350.76127926134</v>
      </c>
    </row>
    <row r="123" spans="1:8">
      <c r="A123" s="227" t="s">
        <v>89</v>
      </c>
      <c r="B123" s="204">
        <v>-31894.552374301675</v>
      </c>
      <c r="C123" s="82">
        <v>-33206.234938064285</v>
      </c>
      <c r="D123" s="82">
        <v>-33172.337261559733</v>
      </c>
      <c r="E123" s="205">
        <v>-33891.711396770275</v>
      </c>
      <c r="F123" s="216">
        <v>-33399.703923019981</v>
      </c>
      <c r="G123" s="216">
        <v>-39715.766099185785</v>
      </c>
      <c r="H123" s="216">
        <v>-3600.9590850710456</v>
      </c>
    </row>
    <row r="124" spans="1:8">
      <c r="A124" s="227" t="s">
        <v>91</v>
      </c>
      <c r="B124" s="204">
        <v>-29088.960775139672</v>
      </c>
      <c r="C124" s="82">
        <v>-27810.810618713076</v>
      </c>
      <c r="D124" s="82">
        <v>-26802.467710298737</v>
      </c>
      <c r="E124" s="205">
        <v>-27387.546932478555</v>
      </c>
      <c r="F124" s="216">
        <v>-28231.96838638046</v>
      </c>
      <c r="G124" s="216">
        <v>-26072.827438934124</v>
      </c>
      <c r="H124" s="216">
        <v>-6749.8021941902934</v>
      </c>
    </row>
    <row r="125" spans="1:8">
      <c r="A125" s="125" t="s">
        <v>93</v>
      </c>
      <c r="B125" s="204">
        <v>-2718.5741061452518</v>
      </c>
      <c r="C125" s="82">
        <v>-2655.2641068640405</v>
      </c>
      <c r="D125" s="82">
        <v>-2841.0193616447496</v>
      </c>
      <c r="E125" s="205">
        <v>-3061.331817287351</v>
      </c>
      <c r="F125" s="216">
        <v>-3293.8564026646927</v>
      </c>
      <c r="G125" s="216">
        <v>-4418.9489267209483</v>
      </c>
      <c r="H125" s="216">
        <v>-496.49699619575438</v>
      </c>
    </row>
    <row r="126" spans="1:8">
      <c r="A126" s="139" t="s">
        <v>95</v>
      </c>
      <c r="B126" s="202">
        <v>78202.154643854738</v>
      </c>
      <c r="C126" s="77">
        <v>78231.126414043756</v>
      </c>
      <c r="D126" s="77">
        <v>73954.673967593088</v>
      </c>
      <c r="E126" s="203">
        <v>77777.240381101845</v>
      </c>
      <c r="F126" s="139">
        <v>79470.873056994795</v>
      </c>
      <c r="G126" s="139">
        <v>83401.066839378269</v>
      </c>
      <c r="H126" s="139">
        <v>27483.332894324623</v>
      </c>
    </row>
    <row r="127" spans="1:8">
      <c r="A127" s="125" t="s">
        <v>97</v>
      </c>
      <c r="B127" s="204">
        <v>-22862.429944134081</v>
      </c>
      <c r="C127" s="82">
        <v>-21702.259626988143</v>
      </c>
      <c r="D127" s="82">
        <v>-18699.694878987029</v>
      </c>
      <c r="E127" s="205">
        <v>-19885.066187253422</v>
      </c>
      <c r="F127" s="216">
        <v>-25068.837897853438</v>
      </c>
      <c r="G127" s="216">
        <v>-16811.99111769061</v>
      </c>
      <c r="H127" s="216">
        <v>-10824.347278529471</v>
      </c>
    </row>
    <row r="128" spans="1:8">
      <c r="A128" s="125" t="s">
        <v>291</v>
      </c>
      <c r="B128" s="204">
        <v>2050.9781843575424</v>
      </c>
      <c r="C128" s="82">
        <v>-2958.7689063017879</v>
      </c>
      <c r="D128" s="82">
        <v>-2639.9153232123449</v>
      </c>
      <c r="E128" s="205">
        <v>1478.1094883800333</v>
      </c>
      <c r="F128" s="216">
        <v>1247.9644707623984</v>
      </c>
      <c r="G128" s="216">
        <v>362.16728349370862</v>
      </c>
      <c r="H128" s="216">
        <v>915.21558257809966</v>
      </c>
    </row>
    <row r="129" spans="1:8">
      <c r="A129" s="139" t="s">
        <v>103</v>
      </c>
      <c r="B129" s="202">
        <v>57390.702884078193</v>
      </c>
      <c r="C129" s="77">
        <v>53570.097880753827</v>
      </c>
      <c r="D129" s="77">
        <v>52615.063765393708</v>
      </c>
      <c r="E129" s="203">
        <v>59370.283682228459</v>
      </c>
      <c r="F129" s="139">
        <v>55649.999629903745</v>
      </c>
      <c r="G129" s="139">
        <v>66951.243005181357</v>
      </c>
      <c r="H129" s="139">
        <v>17574.201198373252</v>
      </c>
    </row>
    <row r="130" spans="1:8">
      <c r="A130" s="125" t="s">
        <v>105</v>
      </c>
      <c r="B130" s="204">
        <v>-12182.808610335194</v>
      </c>
      <c r="C130" s="82">
        <v>-11978.541890022201</v>
      </c>
      <c r="D130" s="82">
        <v>-12596.82369483561</v>
      </c>
      <c r="E130" s="205">
        <v>-10939.181299312488</v>
      </c>
      <c r="F130" s="216">
        <v>-13171.687979274611</v>
      </c>
      <c r="G130" s="216">
        <v>-13067.492146558108</v>
      </c>
      <c r="H130" s="216">
        <v>-4944.4220647149186</v>
      </c>
    </row>
    <row r="131" spans="1:8">
      <c r="A131" s="139" t="s">
        <v>107</v>
      </c>
      <c r="B131" s="202">
        <v>45207.894273743004</v>
      </c>
      <c r="C131" s="77">
        <v>41591.555990731627</v>
      </c>
      <c r="D131" s="77">
        <v>40018.240070558109</v>
      </c>
      <c r="E131" s="203">
        <v>48431.102382915968</v>
      </c>
      <c r="F131" s="139">
        <v>42478.311650629141</v>
      </c>
      <c r="G131" s="139">
        <v>53883.750858623258</v>
      </c>
      <c r="H131" s="139">
        <v>12629.77913365833</v>
      </c>
    </row>
    <row r="132" spans="1:8">
      <c r="A132" s="125" t="s">
        <v>109</v>
      </c>
      <c r="B132" s="204">
        <v>-9621.4082262569846</v>
      </c>
      <c r="C132" s="82">
        <v>-8829.1610946865458</v>
      </c>
      <c r="D132" s="82">
        <v>-7965.8781590273375</v>
      </c>
      <c r="E132" s="205">
        <v>-11316.204080468699</v>
      </c>
      <c r="F132" s="216">
        <v>-9016.5059585492236</v>
      </c>
      <c r="G132" s="216">
        <v>-12919.414537379718</v>
      </c>
      <c r="H132" s="216">
        <v>-77.128708872259125</v>
      </c>
    </row>
    <row r="133" spans="1:8">
      <c r="A133" s="206" t="s">
        <v>111</v>
      </c>
      <c r="B133" s="207">
        <v>35586.486047486018</v>
      </c>
      <c r="C133" s="208">
        <v>32762.39489604508</v>
      </c>
      <c r="D133" s="208">
        <v>32052.361911530767</v>
      </c>
      <c r="E133" s="209">
        <v>37114.898302447269</v>
      </c>
      <c r="F133" s="206">
        <v>33461.805692079914</v>
      </c>
      <c r="G133" s="206">
        <v>40964.336321243536</v>
      </c>
      <c r="H133" s="206">
        <v>12552.650424786068</v>
      </c>
    </row>
    <row r="134" spans="1:8">
      <c r="A134" s="215"/>
      <c r="B134" s="77"/>
      <c r="C134" s="77"/>
      <c r="D134" s="77"/>
      <c r="E134" s="77"/>
      <c r="F134" s="139"/>
      <c r="G134" s="139"/>
      <c r="H134" s="139"/>
    </row>
    <row r="135" spans="1:8">
      <c r="A135" s="139"/>
      <c r="B135" s="77"/>
      <c r="C135" s="77"/>
      <c r="D135" s="77"/>
      <c r="E135" s="77"/>
      <c r="F135" s="139"/>
      <c r="G135" s="139"/>
      <c r="H135" s="139"/>
    </row>
    <row r="136" spans="1:8" ht="18">
      <c r="A136" s="230" t="s">
        <v>181</v>
      </c>
      <c r="B136" s="231"/>
      <c r="C136" s="231"/>
      <c r="D136" s="231"/>
      <c r="E136" s="231"/>
      <c r="F136" s="231"/>
      <c r="G136" s="232"/>
      <c r="H136" s="232"/>
    </row>
    <row r="137" spans="1:8">
      <c r="A137" s="68" t="s">
        <v>579</v>
      </c>
      <c r="B137" s="72"/>
      <c r="C137" s="72"/>
      <c r="D137" s="72"/>
      <c r="E137" s="72"/>
      <c r="F137" s="72"/>
      <c r="G137" s="72"/>
      <c r="H137" s="72"/>
    </row>
    <row r="138" spans="1:8" ht="15.75">
      <c r="A138" s="72"/>
      <c r="B138" s="59">
        <v>42825</v>
      </c>
      <c r="C138" s="59">
        <v>42916</v>
      </c>
      <c r="D138" s="59">
        <v>43008</v>
      </c>
      <c r="E138" s="59">
        <v>43100</v>
      </c>
      <c r="F138" s="59">
        <v>43190</v>
      </c>
      <c r="G138" s="59">
        <v>43281</v>
      </c>
      <c r="H138" s="59">
        <v>43373</v>
      </c>
    </row>
    <row r="139" spans="1:8" s="86" customFormat="1">
      <c r="A139" s="125" t="s">
        <v>120</v>
      </c>
      <c r="B139" s="204">
        <v>348699.71671388089</v>
      </c>
      <c r="C139" s="82">
        <v>420973.50492051482</v>
      </c>
      <c r="D139" s="82">
        <v>247504.51127819551</v>
      </c>
      <c r="E139" s="205">
        <v>806974.90774907754</v>
      </c>
      <c r="F139" s="228">
        <v>527998.50857568963</v>
      </c>
      <c r="G139" s="82">
        <v>441289.27492447128</v>
      </c>
      <c r="H139" s="82">
        <v>30389.739663093409</v>
      </c>
    </row>
    <row r="140" spans="1:8" s="86" customFormat="1">
      <c r="A140" s="125" t="s">
        <v>192</v>
      </c>
      <c r="B140" s="204">
        <v>3103434.8441926343</v>
      </c>
      <c r="C140" s="82">
        <v>3498417.1082513253</v>
      </c>
      <c r="D140" s="82">
        <v>3615914.2857142859</v>
      </c>
      <c r="E140" s="205">
        <v>4013372.6937269368</v>
      </c>
      <c r="F140" s="228">
        <v>3083678.5980611476</v>
      </c>
      <c r="G140" s="82">
        <v>3311221.2990936553</v>
      </c>
      <c r="H140" s="82">
        <v>0</v>
      </c>
    </row>
    <row r="141" spans="1:8" s="86" customFormat="1">
      <c r="A141" s="125" t="s">
        <v>705</v>
      </c>
      <c r="B141" s="204">
        <v>11857308.7818697</v>
      </c>
      <c r="C141" s="82">
        <v>11698576.07872824</v>
      </c>
      <c r="D141" s="82">
        <v>11950330.827067669</v>
      </c>
      <c r="E141" s="205">
        <v>11423299.630996309</v>
      </c>
      <c r="F141" s="228">
        <v>11769296.793437734</v>
      </c>
      <c r="G141" s="82">
        <v>11749922.205438066</v>
      </c>
      <c r="H141" s="82">
        <v>1526326.1868300149</v>
      </c>
    </row>
    <row r="142" spans="1:8" s="86" customFormat="1">
      <c r="A142" s="125" t="s">
        <v>195</v>
      </c>
      <c r="B142" s="204">
        <v>10476354.815864032</v>
      </c>
      <c r="C142" s="82">
        <v>10609452.687358061</v>
      </c>
      <c r="D142" s="82">
        <v>10749218.796992484</v>
      </c>
      <c r="E142" s="205">
        <v>10957870.848708484</v>
      </c>
      <c r="F142" s="228">
        <v>11086334.079045489</v>
      </c>
      <c r="G142" s="82">
        <v>11346545.317220544</v>
      </c>
      <c r="H142" s="82">
        <v>1526326.1868300149</v>
      </c>
    </row>
    <row r="143" spans="1:8" s="86" customFormat="1">
      <c r="A143" s="125" t="s">
        <v>140</v>
      </c>
      <c r="B143" s="204">
        <v>74454.674220963178</v>
      </c>
      <c r="C143" s="82">
        <v>74006.056018168063</v>
      </c>
      <c r="D143" s="82">
        <v>71535.338345864642</v>
      </c>
      <c r="E143" s="205">
        <v>68416.97416974169</v>
      </c>
      <c r="F143" s="228">
        <v>67692.766592095446</v>
      </c>
      <c r="G143" s="82">
        <v>66569.486404833835</v>
      </c>
      <c r="H143" s="82">
        <v>1684.532924961715</v>
      </c>
    </row>
    <row r="144" spans="1:8" s="86" customFormat="1">
      <c r="A144" s="125" t="s">
        <v>144</v>
      </c>
      <c r="B144" s="204">
        <v>788250.44601273397</v>
      </c>
      <c r="C144" s="82">
        <v>640954.00241483422</v>
      </c>
      <c r="D144" s="82">
        <v>628095.75947368401</v>
      </c>
      <c r="E144" s="205">
        <v>620878.84849446896</v>
      </c>
      <c r="F144" s="228">
        <v>1266495.152870992</v>
      </c>
      <c r="G144" s="82">
        <v>1193543.0513595166</v>
      </c>
      <c r="H144" s="82">
        <v>663975.49770290975</v>
      </c>
    </row>
    <row r="145" spans="1:9">
      <c r="A145" s="206" t="s">
        <v>201</v>
      </c>
      <c r="B145" s="207">
        <v>16172148.463009913</v>
      </c>
      <c r="C145" s="208">
        <v>16332926.750333082</v>
      </c>
      <c r="D145" s="208">
        <v>16513380.721879698</v>
      </c>
      <c r="E145" s="209">
        <v>16932943.055136535</v>
      </c>
      <c r="F145" s="207">
        <v>16715161.819537658</v>
      </c>
      <c r="G145" s="208">
        <v>16767638.180430515</v>
      </c>
      <c r="H145" s="208">
        <v>2227531.8673430318</v>
      </c>
    </row>
    <row r="146" spans="1:9">
      <c r="A146" s="125" t="s">
        <v>207</v>
      </c>
      <c r="B146" s="204">
        <v>1450583.5694050989</v>
      </c>
      <c r="C146" s="82">
        <v>1411542.0136260409</v>
      </c>
      <c r="D146" s="82">
        <v>1552658.6466165411</v>
      </c>
      <c r="E146" s="205">
        <v>1665835.4243542431</v>
      </c>
      <c r="F146" s="228">
        <v>1528146.9052945559</v>
      </c>
      <c r="G146" s="82">
        <v>1612023.4138972808</v>
      </c>
      <c r="H146" s="82">
        <v>0</v>
      </c>
    </row>
    <row r="147" spans="1:9" s="86" customFormat="1">
      <c r="A147" s="125" t="s">
        <v>203</v>
      </c>
      <c r="B147" s="204">
        <v>1418672.096317281</v>
      </c>
      <c r="C147" s="82">
        <v>1554357.305071915</v>
      </c>
      <c r="D147" s="82">
        <v>1486766.165413534</v>
      </c>
      <c r="E147" s="205">
        <v>1523549.8154981551</v>
      </c>
      <c r="F147" s="228">
        <v>1398558.538404176</v>
      </c>
      <c r="G147" s="82">
        <v>1158835.3474320241</v>
      </c>
      <c r="H147" s="82">
        <v>434068.14701378247</v>
      </c>
    </row>
    <row r="148" spans="1:9" s="86" customFormat="1">
      <c r="A148" s="125" t="s">
        <v>205</v>
      </c>
      <c r="B148" s="204">
        <v>6461349.1501416434</v>
      </c>
      <c r="C148" s="82">
        <v>6410023.4670704016</v>
      </c>
      <c r="D148" s="82">
        <v>6325157.8947368413</v>
      </c>
      <c r="E148" s="205">
        <v>6895794.8339483393</v>
      </c>
      <c r="F148" s="228">
        <v>6554316.9276659209</v>
      </c>
      <c r="G148" s="82">
        <v>7261146.5256797587</v>
      </c>
      <c r="H148" s="82">
        <v>10772.588055130211</v>
      </c>
    </row>
    <row r="149" spans="1:9" s="86" customFormat="1">
      <c r="A149" s="125" t="s">
        <v>209</v>
      </c>
      <c r="B149" s="204">
        <v>3439463.8810198312</v>
      </c>
      <c r="C149" s="82">
        <v>3370408.7812263439</v>
      </c>
      <c r="D149" s="82">
        <v>3456324.0601503761</v>
      </c>
      <c r="E149" s="205">
        <v>3441067.8966789669</v>
      </c>
      <c r="F149" s="228">
        <v>3699087.9940343024</v>
      </c>
      <c r="G149" s="82">
        <v>3518859.5166163142</v>
      </c>
      <c r="H149" s="82">
        <v>713886.67687595706</v>
      </c>
    </row>
    <row r="150" spans="1:9" s="86" customFormat="1">
      <c r="A150" s="125" t="s">
        <v>166</v>
      </c>
      <c r="B150" s="204">
        <v>2968367.3298654309</v>
      </c>
      <c r="C150" s="82">
        <v>3171376.0614610142</v>
      </c>
      <c r="D150" s="82">
        <v>3277157.3462781976</v>
      </c>
      <c r="E150" s="205">
        <v>3007143.8795202868</v>
      </c>
      <c r="F150" s="228">
        <v>3126556.5190156512</v>
      </c>
      <c r="G150" s="82">
        <v>2795617.4326963741</v>
      </c>
      <c r="H150" s="82">
        <v>1012630.335673813</v>
      </c>
    </row>
    <row r="151" spans="1:9">
      <c r="A151" s="125" t="s">
        <v>214</v>
      </c>
      <c r="B151" s="204">
        <v>433712.4362606231</v>
      </c>
      <c r="C151" s="82">
        <v>415219.12187736557</v>
      </c>
      <c r="D151" s="82">
        <v>415316.60868421051</v>
      </c>
      <c r="E151" s="205">
        <v>399551.20513653132</v>
      </c>
      <c r="F151" s="228">
        <v>408494.93512304249</v>
      </c>
      <c r="G151" s="82">
        <v>421155.94410876126</v>
      </c>
      <c r="H151" s="82">
        <v>56174.119724349148</v>
      </c>
    </row>
    <row r="152" spans="1:9">
      <c r="A152" s="215"/>
      <c r="B152" s="69"/>
      <c r="C152" s="82"/>
      <c r="D152" s="82"/>
      <c r="E152" s="82"/>
      <c r="F152" s="82"/>
      <c r="G152" s="82"/>
      <c r="H152" s="82"/>
    </row>
    <row r="153" spans="1:9">
      <c r="A153" s="125"/>
      <c r="B153" s="69"/>
      <c r="C153" s="82"/>
      <c r="D153" s="82"/>
      <c r="E153" s="82"/>
      <c r="F153" s="82"/>
      <c r="G153" s="82"/>
      <c r="H153" s="82"/>
    </row>
    <row r="154" spans="1:9" ht="18">
      <c r="A154" s="230" t="s">
        <v>216</v>
      </c>
      <c r="B154" s="231"/>
      <c r="C154" s="231"/>
      <c r="D154" s="231"/>
      <c r="E154" s="231"/>
      <c r="F154" s="231"/>
      <c r="G154" s="232"/>
      <c r="H154" s="232"/>
    </row>
    <row r="155" spans="1:9">
      <c r="A155" s="68" t="s">
        <v>579</v>
      </c>
      <c r="B155" s="72"/>
      <c r="C155" s="72"/>
      <c r="D155" s="72"/>
      <c r="E155" s="72"/>
      <c r="F155" s="72"/>
      <c r="G155" s="72"/>
      <c r="H155" s="72"/>
    </row>
    <row r="156" spans="1:9" ht="15.75">
      <c r="A156" s="72"/>
      <c r="B156" s="59">
        <v>42825</v>
      </c>
      <c r="C156" s="59">
        <v>42916</v>
      </c>
      <c r="D156" s="59">
        <v>43008</v>
      </c>
      <c r="E156" s="59">
        <v>43100</v>
      </c>
      <c r="F156" s="59">
        <v>43190</v>
      </c>
      <c r="G156" s="59">
        <v>43281</v>
      </c>
      <c r="H156" s="59">
        <v>43373</v>
      </c>
    </row>
    <row r="157" spans="1:9">
      <c r="A157" s="125" t="s">
        <v>218</v>
      </c>
      <c r="B157" s="214">
        <v>10652301.344121814</v>
      </c>
      <c r="C157" s="69">
        <v>10779753.448501136</v>
      </c>
      <c r="D157" s="69">
        <v>10881574.177511279</v>
      </c>
      <c r="E157" s="69">
        <v>11119915.820892988</v>
      </c>
      <c r="F157" s="214">
        <v>11017703.054004475</v>
      </c>
      <c r="G157" s="69">
        <v>11543268.882175226</v>
      </c>
      <c r="H157" s="69">
        <v>1571343.0321592647</v>
      </c>
      <c r="I157" s="313"/>
    </row>
    <row r="158" spans="1:9">
      <c r="A158" s="125" t="s">
        <v>549</v>
      </c>
      <c r="B158" s="214">
        <v>6838532.3866713895</v>
      </c>
      <c r="C158" s="69">
        <v>6813777.487903106</v>
      </c>
      <c r="D158" s="69">
        <v>6869228.4834360899</v>
      </c>
      <c r="E158" s="69">
        <v>7140057.4939483404</v>
      </c>
      <c r="F158" s="214">
        <v>6746288.6780238664</v>
      </c>
      <c r="G158" s="69">
        <v>7176405.9689274915</v>
      </c>
      <c r="H158" s="69">
        <v>10772.588055130167</v>
      </c>
    </row>
    <row r="159" spans="1:9">
      <c r="A159" s="125" t="s">
        <v>226</v>
      </c>
      <c r="B159" s="214">
        <v>1217949</v>
      </c>
      <c r="C159" s="69">
        <v>1176080.2</v>
      </c>
      <c r="D159" s="69">
        <v>1210134</v>
      </c>
      <c r="E159" s="69">
        <v>955704.2</v>
      </c>
      <c r="F159" s="214">
        <v>1119606.0000149144</v>
      </c>
      <c r="G159" s="69">
        <v>1055582.0000226586</v>
      </c>
      <c r="H159" s="82">
        <v>0</v>
      </c>
    </row>
    <row r="160" spans="1:9">
      <c r="A160" s="125" t="s">
        <v>377</v>
      </c>
      <c r="B160" s="214">
        <v>0</v>
      </c>
      <c r="C160" s="82">
        <v>0</v>
      </c>
      <c r="D160" s="82">
        <v>0</v>
      </c>
      <c r="E160" s="82">
        <v>0</v>
      </c>
      <c r="F160" s="213">
        <v>0</v>
      </c>
      <c r="G160" s="82">
        <v>0</v>
      </c>
      <c r="H160" s="82">
        <v>0</v>
      </c>
    </row>
    <row r="161" spans="1:8">
      <c r="A161" s="125" t="s">
        <v>540</v>
      </c>
      <c r="B161" s="214">
        <v>0</v>
      </c>
      <c r="C161" s="82">
        <v>0</v>
      </c>
      <c r="D161" s="82">
        <v>0</v>
      </c>
      <c r="E161" s="82">
        <v>0</v>
      </c>
      <c r="F161" s="213">
        <v>0</v>
      </c>
      <c r="G161" s="82">
        <v>0</v>
      </c>
      <c r="H161" s="82">
        <v>0</v>
      </c>
    </row>
    <row r="162" spans="1:8">
      <c r="A162" s="215" t="s">
        <v>538</v>
      </c>
      <c r="B162" s="212"/>
      <c r="C162" s="216"/>
      <c r="D162" s="216"/>
      <c r="E162" s="216"/>
      <c r="F162" s="216"/>
      <c r="G162" s="72"/>
      <c r="H162" s="72"/>
    </row>
    <row r="163" spans="1:8">
      <c r="A163" s="215" t="s">
        <v>500</v>
      </c>
      <c r="B163" s="212"/>
      <c r="C163" s="216"/>
      <c r="D163" s="216"/>
      <c r="E163" s="216"/>
      <c r="F163" s="216"/>
      <c r="G163" s="72"/>
      <c r="H163" s="72"/>
    </row>
    <row r="164" spans="1:8">
      <c r="A164" s="72"/>
      <c r="B164" s="72"/>
      <c r="C164" s="72"/>
      <c r="D164" s="72"/>
      <c r="E164" s="72"/>
      <c r="F164" s="72"/>
      <c r="G164" s="72"/>
      <c r="H164" s="72"/>
    </row>
    <row r="165" spans="1:8">
      <c r="A165" s="72"/>
      <c r="B165" s="72"/>
      <c r="C165" s="72"/>
      <c r="D165" s="72"/>
      <c r="E165" s="72"/>
      <c r="F165" s="72"/>
      <c r="G165" s="72"/>
      <c r="H165" s="72"/>
    </row>
    <row r="166" spans="1:8">
      <c r="A166" s="72"/>
      <c r="B166" s="72"/>
      <c r="C166" s="72"/>
      <c r="D166" s="72"/>
      <c r="E166" s="72"/>
      <c r="F166" s="72"/>
      <c r="G166" s="72"/>
      <c r="H166" s="72"/>
    </row>
    <row r="167" spans="1:8">
      <c r="A167" s="72"/>
      <c r="B167" s="72"/>
      <c r="C167" s="72"/>
      <c r="D167" s="72"/>
      <c r="E167" s="72"/>
      <c r="F167" s="72"/>
      <c r="G167" s="72"/>
      <c r="H167" s="72"/>
    </row>
    <row r="168" spans="1:8">
      <c r="A168" s="72"/>
      <c r="B168" s="72"/>
      <c r="C168" s="72"/>
      <c r="D168" s="72"/>
      <c r="E168" s="72"/>
      <c r="F168" s="72"/>
      <c r="G168" s="72"/>
      <c r="H168" s="72"/>
    </row>
    <row r="169" spans="1:8">
      <c r="A169" s="72"/>
      <c r="B169" s="72"/>
      <c r="C169" s="72"/>
      <c r="D169" s="72"/>
      <c r="E169" s="72"/>
      <c r="F169" s="72"/>
      <c r="G169" s="72"/>
      <c r="H169" s="72"/>
    </row>
    <row r="170" spans="1:8">
      <c r="A170" s="72"/>
      <c r="B170" s="72"/>
      <c r="C170" s="72"/>
      <c r="D170" s="72"/>
      <c r="E170" s="72"/>
      <c r="F170" s="72"/>
      <c r="G170" s="72"/>
      <c r="H170" s="72"/>
    </row>
    <row r="171" spans="1:8">
      <c r="A171" s="72"/>
      <c r="B171" s="72"/>
      <c r="C171" s="72"/>
      <c r="D171" s="72"/>
      <c r="E171" s="72"/>
      <c r="F171" s="72"/>
      <c r="G171" s="72"/>
      <c r="H171" s="72"/>
    </row>
    <row r="172" spans="1:8">
      <c r="A172" s="72"/>
      <c r="B172" s="72"/>
      <c r="C172" s="72"/>
      <c r="D172" s="72"/>
      <c r="E172" s="72"/>
      <c r="F172" s="72"/>
      <c r="G172" s="72"/>
      <c r="H172" s="72"/>
    </row>
    <row r="173" spans="1:8">
      <c r="A173" s="72"/>
      <c r="B173" s="72"/>
      <c r="C173" s="72"/>
      <c r="D173" s="72"/>
      <c r="E173" s="72"/>
      <c r="F173" s="72"/>
      <c r="G173" s="72"/>
      <c r="H173" s="72"/>
    </row>
    <row r="174" spans="1:8">
      <c r="A174" s="72"/>
      <c r="B174" s="72"/>
      <c r="C174" s="72"/>
      <c r="D174" s="72"/>
      <c r="E174" s="72"/>
      <c r="F174" s="72"/>
      <c r="G174" s="72"/>
      <c r="H174" s="72"/>
    </row>
    <row r="175" spans="1:8">
      <c r="A175" s="72"/>
      <c r="B175" s="72"/>
      <c r="C175" s="72"/>
      <c r="D175" s="72"/>
      <c r="E175" s="72"/>
      <c r="F175" s="72"/>
      <c r="G175" s="72"/>
      <c r="H175" s="72"/>
    </row>
    <row r="176" spans="1:8">
      <c r="A176" s="72"/>
      <c r="B176" s="72"/>
      <c r="C176" s="72"/>
      <c r="D176" s="72"/>
      <c r="E176" s="72"/>
      <c r="F176" s="72"/>
      <c r="G176" s="72"/>
      <c r="H176" s="72"/>
    </row>
    <row r="177" spans="1:8">
      <c r="A177" s="72"/>
      <c r="B177" s="72"/>
      <c r="C177" s="72"/>
      <c r="D177" s="72"/>
      <c r="E177" s="72"/>
      <c r="F177" s="72"/>
      <c r="G177" s="72"/>
      <c r="H177" s="72"/>
    </row>
  </sheetData>
  <mergeCells count="6">
    <mergeCell ref="B6:E6"/>
    <mergeCell ref="F6:H6"/>
    <mergeCell ref="B60:E60"/>
    <mergeCell ref="F60:H60"/>
    <mergeCell ref="B114:E114"/>
    <mergeCell ref="F114:H11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showGridLines="0" zoomScale="85" zoomScaleNormal="85" workbookViewId="0"/>
  </sheetViews>
  <sheetFormatPr baseColWidth="10" defaultRowHeight="15"/>
  <cols>
    <col min="1" max="1" width="65.85546875" style="217" customWidth="1"/>
    <col min="2" max="2" width="11.42578125" bestFit="1" customWidth="1"/>
    <col min="3" max="5" width="11.42578125" style="218" bestFit="1" customWidth="1"/>
    <col min="6" max="6" width="11.42578125" bestFit="1" customWidth="1"/>
    <col min="7" max="8" width="12.140625" customWidth="1"/>
    <col min="9" max="9" width="11.42578125" style="86"/>
    <col min="256" max="256" width="65.85546875" customWidth="1"/>
    <col min="257" max="261" width="11.42578125" bestFit="1" customWidth="1"/>
    <col min="262" max="264" width="10.7109375" customWidth="1"/>
    <col min="512" max="512" width="65.85546875" customWidth="1"/>
    <col min="513" max="517" width="11.42578125" bestFit="1" customWidth="1"/>
    <col min="518" max="520" width="10.7109375" customWidth="1"/>
    <col min="768" max="768" width="65.85546875" customWidth="1"/>
    <col min="769" max="773" width="11.42578125" bestFit="1" customWidth="1"/>
    <col min="774" max="776" width="10.7109375" customWidth="1"/>
    <col min="1024" max="1024" width="65.85546875" customWidth="1"/>
    <col min="1025" max="1029" width="11.42578125" bestFit="1" customWidth="1"/>
    <col min="1030" max="1032" width="10.7109375" customWidth="1"/>
    <col min="1280" max="1280" width="65.85546875" customWidth="1"/>
    <col min="1281" max="1285" width="11.42578125" bestFit="1" customWidth="1"/>
    <col min="1286" max="1288" width="10.7109375" customWidth="1"/>
    <col min="1536" max="1536" width="65.85546875" customWidth="1"/>
    <col min="1537" max="1541" width="11.42578125" bestFit="1" customWidth="1"/>
    <col min="1542" max="1544" width="10.7109375" customWidth="1"/>
    <col min="1792" max="1792" width="65.85546875" customWidth="1"/>
    <col min="1793" max="1797" width="11.42578125" bestFit="1" customWidth="1"/>
    <col min="1798" max="1800" width="10.7109375" customWidth="1"/>
    <col min="2048" max="2048" width="65.85546875" customWidth="1"/>
    <col min="2049" max="2053" width="11.42578125" bestFit="1" customWidth="1"/>
    <col min="2054" max="2056" width="10.7109375" customWidth="1"/>
    <col min="2304" max="2304" width="65.85546875" customWidth="1"/>
    <col min="2305" max="2309" width="11.42578125" bestFit="1" customWidth="1"/>
    <col min="2310" max="2312" width="10.7109375" customWidth="1"/>
    <col min="2560" max="2560" width="65.85546875" customWidth="1"/>
    <col min="2561" max="2565" width="11.42578125" bestFit="1" customWidth="1"/>
    <col min="2566" max="2568" width="10.7109375" customWidth="1"/>
    <col min="2816" max="2816" width="65.85546875" customWidth="1"/>
    <col min="2817" max="2821" width="11.42578125" bestFit="1" customWidth="1"/>
    <col min="2822" max="2824" width="10.7109375" customWidth="1"/>
    <col min="3072" max="3072" width="65.85546875" customWidth="1"/>
    <col min="3073" max="3077" width="11.42578125" bestFit="1" customWidth="1"/>
    <col min="3078" max="3080" width="10.7109375" customWidth="1"/>
    <col min="3328" max="3328" width="65.85546875" customWidth="1"/>
    <col min="3329" max="3333" width="11.42578125" bestFit="1" customWidth="1"/>
    <col min="3334" max="3336" width="10.7109375" customWidth="1"/>
    <col min="3584" max="3584" width="65.85546875" customWidth="1"/>
    <col min="3585" max="3589" width="11.42578125" bestFit="1" customWidth="1"/>
    <col min="3590" max="3592" width="10.7109375" customWidth="1"/>
    <col min="3840" max="3840" width="65.85546875" customWidth="1"/>
    <col min="3841" max="3845" width="11.42578125" bestFit="1" customWidth="1"/>
    <col min="3846" max="3848" width="10.7109375" customWidth="1"/>
    <col min="4096" max="4096" width="65.85546875" customWidth="1"/>
    <col min="4097" max="4101" width="11.42578125" bestFit="1" customWidth="1"/>
    <col min="4102" max="4104" width="10.7109375" customWidth="1"/>
    <col min="4352" max="4352" width="65.85546875" customWidth="1"/>
    <col min="4353" max="4357" width="11.42578125" bestFit="1" customWidth="1"/>
    <col min="4358" max="4360" width="10.7109375" customWidth="1"/>
    <col min="4608" max="4608" width="65.85546875" customWidth="1"/>
    <col min="4609" max="4613" width="11.42578125" bestFit="1" customWidth="1"/>
    <col min="4614" max="4616" width="10.7109375" customWidth="1"/>
    <col min="4864" max="4864" width="65.85546875" customWidth="1"/>
    <col min="4865" max="4869" width="11.42578125" bestFit="1" customWidth="1"/>
    <col min="4870" max="4872" width="10.7109375" customWidth="1"/>
    <col min="5120" max="5120" width="65.85546875" customWidth="1"/>
    <col min="5121" max="5125" width="11.42578125" bestFit="1" customWidth="1"/>
    <col min="5126" max="5128" width="10.7109375" customWidth="1"/>
    <col min="5376" max="5376" width="65.85546875" customWidth="1"/>
    <col min="5377" max="5381" width="11.42578125" bestFit="1" customWidth="1"/>
    <col min="5382" max="5384" width="10.7109375" customWidth="1"/>
    <col min="5632" max="5632" width="65.85546875" customWidth="1"/>
    <col min="5633" max="5637" width="11.42578125" bestFit="1" customWidth="1"/>
    <col min="5638" max="5640" width="10.7109375" customWidth="1"/>
    <col min="5888" max="5888" width="65.85546875" customWidth="1"/>
    <col min="5889" max="5893" width="11.42578125" bestFit="1" customWidth="1"/>
    <col min="5894" max="5896" width="10.7109375" customWidth="1"/>
    <col min="6144" max="6144" width="65.85546875" customWidth="1"/>
    <col min="6145" max="6149" width="11.42578125" bestFit="1" customWidth="1"/>
    <col min="6150" max="6152" width="10.7109375" customWidth="1"/>
    <col min="6400" max="6400" width="65.85546875" customWidth="1"/>
    <col min="6401" max="6405" width="11.42578125" bestFit="1" customWidth="1"/>
    <col min="6406" max="6408" width="10.7109375" customWidth="1"/>
    <col min="6656" max="6656" width="65.85546875" customWidth="1"/>
    <col min="6657" max="6661" width="11.42578125" bestFit="1" customWidth="1"/>
    <col min="6662" max="6664" width="10.7109375" customWidth="1"/>
    <col min="6912" max="6912" width="65.85546875" customWidth="1"/>
    <col min="6913" max="6917" width="11.42578125" bestFit="1" customWidth="1"/>
    <col min="6918" max="6920" width="10.7109375" customWidth="1"/>
    <col min="7168" max="7168" width="65.85546875" customWidth="1"/>
    <col min="7169" max="7173" width="11.42578125" bestFit="1" customWidth="1"/>
    <col min="7174" max="7176" width="10.7109375" customWidth="1"/>
    <col min="7424" max="7424" width="65.85546875" customWidth="1"/>
    <col min="7425" max="7429" width="11.42578125" bestFit="1" customWidth="1"/>
    <col min="7430" max="7432" width="10.7109375" customWidth="1"/>
    <col min="7680" max="7680" width="65.85546875" customWidth="1"/>
    <col min="7681" max="7685" width="11.42578125" bestFit="1" customWidth="1"/>
    <col min="7686" max="7688" width="10.7109375" customWidth="1"/>
    <col min="7936" max="7936" width="65.85546875" customWidth="1"/>
    <col min="7937" max="7941" width="11.42578125" bestFit="1" customWidth="1"/>
    <col min="7942" max="7944" width="10.7109375" customWidth="1"/>
    <col min="8192" max="8192" width="65.85546875" customWidth="1"/>
    <col min="8193" max="8197" width="11.42578125" bestFit="1" customWidth="1"/>
    <col min="8198" max="8200" width="10.7109375" customWidth="1"/>
    <col min="8448" max="8448" width="65.85546875" customWidth="1"/>
    <col min="8449" max="8453" width="11.42578125" bestFit="1" customWidth="1"/>
    <col min="8454" max="8456" width="10.7109375" customWidth="1"/>
    <col min="8704" max="8704" width="65.85546875" customWidth="1"/>
    <col min="8705" max="8709" width="11.42578125" bestFit="1" customWidth="1"/>
    <col min="8710" max="8712" width="10.7109375" customWidth="1"/>
    <col min="8960" max="8960" width="65.85546875" customWidth="1"/>
    <col min="8961" max="8965" width="11.42578125" bestFit="1" customWidth="1"/>
    <col min="8966" max="8968" width="10.7109375" customWidth="1"/>
    <col min="9216" max="9216" width="65.85546875" customWidth="1"/>
    <col min="9217" max="9221" width="11.42578125" bestFit="1" customWidth="1"/>
    <col min="9222" max="9224" width="10.7109375" customWidth="1"/>
    <col min="9472" max="9472" width="65.85546875" customWidth="1"/>
    <col min="9473" max="9477" width="11.42578125" bestFit="1" customWidth="1"/>
    <col min="9478" max="9480" width="10.7109375" customWidth="1"/>
    <col min="9728" max="9728" width="65.85546875" customWidth="1"/>
    <col min="9729" max="9733" width="11.42578125" bestFit="1" customWidth="1"/>
    <col min="9734" max="9736" width="10.7109375" customWidth="1"/>
    <col min="9984" max="9984" width="65.85546875" customWidth="1"/>
    <col min="9985" max="9989" width="11.42578125" bestFit="1" customWidth="1"/>
    <col min="9990" max="9992" width="10.7109375" customWidth="1"/>
    <col min="10240" max="10240" width="65.85546875" customWidth="1"/>
    <col min="10241" max="10245" width="11.42578125" bestFit="1" customWidth="1"/>
    <col min="10246" max="10248" width="10.7109375" customWidth="1"/>
    <col min="10496" max="10496" width="65.85546875" customWidth="1"/>
    <col min="10497" max="10501" width="11.42578125" bestFit="1" customWidth="1"/>
    <col min="10502" max="10504" width="10.7109375" customWidth="1"/>
    <col min="10752" max="10752" width="65.85546875" customWidth="1"/>
    <col min="10753" max="10757" width="11.42578125" bestFit="1" customWidth="1"/>
    <col min="10758" max="10760" width="10.7109375" customWidth="1"/>
    <col min="11008" max="11008" width="65.85546875" customWidth="1"/>
    <col min="11009" max="11013" width="11.42578125" bestFit="1" customWidth="1"/>
    <col min="11014" max="11016" width="10.7109375" customWidth="1"/>
    <col min="11264" max="11264" width="65.85546875" customWidth="1"/>
    <col min="11265" max="11269" width="11.42578125" bestFit="1" customWidth="1"/>
    <col min="11270" max="11272" width="10.7109375" customWidth="1"/>
    <col min="11520" max="11520" width="65.85546875" customWidth="1"/>
    <col min="11521" max="11525" width="11.42578125" bestFit="1" customWidth="1"/>
    <col min="11526" max="11528" width="10.7109375" customWidth="1"/>
    <col min="11776" max="11776" width="65.85546875" customWidth="1"/>
    <col min="11777" max="11781" width="11.42578125" bestFit="1" customWidth="1"/>
    <col min="11782" max="11784" width="10.7109375" customWidth="1"/>
    <col min="12032" max="12032" width="65.85546875" customWidth="1"/>
    <col min="12033" max="12037" width="11.42578125" bestFit="1" customWidth="1"/>
    <col min="12038" max="12040" width="10.7109375" customWidth="1"/>
    <col min="12288" max="12288" width="65.85546875" customWidth="1"/>
    <col min="12289" max="12293" width="11.42578125" bestFit="1" customWidth="1"/>
    <col min="12294" max="12296" width="10.7109375" customWidth="1"/>
    <col min="12544" max="12544" width="65.85546875" customWidth="1"/>
    <col min="12545" max="12549" width="11.42578125" bestFit="1" customWidth="1"/>
    <col min="12550" max="12552" width="10.7109375" customWidth="1"/>
    <col min="12800" max="12800" width="65.85546875" customWidth="1"/>
    <col min="12801" max="12805" width="11.42578125" bestFit="1" customWidth="1"/>
    <col min="12806" max="12808" width="10.7109375" customWidth="1"/>
    <col min="13056" max="13056" width="65.85546875" customWidth="1"/>
    <col min="13057" max="13061" width="11.42578125" bestFit="1" customWidth="1"/>
    <col min="13062" max="13064" width="10.7109375" customWidth="1"/>
    <col min="13312" max="13312" width="65.85546875" customWidth="1"/>
    <col min="13313" max="13317" width="11.42578125" bestFit="1" customWidth="1"/>
    <col min="13318" max="13320" width="10.7109375" customWidth="1"/>
    <col min="13568" max="13568" width="65.85546875" customWidth="1"/>
    <col min="13569" max="13573" width="11.42578125" bestFit="1" customWidth="1"/>
    <col min="13574" max="13576" width="10.7109375" customWidth="1"/>
    <col min="13824" max="13824" width="65.85546875" customWidth="1"/>
    <col min="13825" max="13829" width="11.42578125" bestFit="1" customWidth="1"/>
    <col min="13830" max="13832" width="10.7109375" customWidth="1"/>
    <col min="14080" max="14080" width="65.85546875" customWidth="1"/>
    <col min="14081" max="14085" width="11.42578125" bestFit="1" customWidth="1"/>
    <col min="14086" max="14088" width="10.7109375" customWidth="1"/>
    <col min="14336" max="14336" width="65.85546875" customWidth="1"/>
    <col min="14337" max="14341" width="11.42578125" bestFit="1" customWidth="1"/>
    <col min="14342" max="14344" width="10.7109375" customWidth="1"/>
    <col min="14592" max="14592" width="65.85546875" customWidth="1"/>
    <col min="14593" max="14597" width="11.42578125" bestFit="1" customWidth="1"/>
    <col min="14598" max="14600" width="10.7109375" customWidth="1"/>
    <col min="14848" max="14848" width="65.85546875" customWidth="1"/>
    <col min="14849" max="14853" width="11.42578125" bestFit="1" customWidth="1"/>
    <col min="14854" max="14856" width="10.7109375" customWidth="1"/>
    <col min="15104" max="15104" width="65.85546875" customWidth="1"/>
    <col min="15105" max="15109" width="11.42578125" bestFit="1" customWidth="1"/>
    <col min="15110" max="15112" width="10.7109375" customWidth="1"/>
    <col min="15360" max="15360" width="65.85546875" customWidth="1"/>
    <col min="15361" max="15365" width="11.42578125" bestFit="1" customWidth="1"/>
    <col min="15366" max="15368" width="10.7109375" customWidth="1"/>
    <col min="15616" max="15616" width="65.85546875" customWidth="1"/>
    <col min="15617" max="15621" width="11.42578125" bestFit="1" customWidth="1"/>
    <col min="15622" max="15624" width="10.7109375" customWidth="1"/>
    <col min="15872" max="15872" width="65.85546875" customWidth="1"/>
    <col min="15873" max="15877" width="11.42578125" bestFit="1" customWidth="1"/>
    <col min="15878" max="15880" width="10.7109375" customWidth="1"/>
    <col min="16128" max="16128" width="65.85546875" customWidth="1"/>
    <col min="16129" max="16133" width="11.42578125" bestFit="1" customWidth="1"/>
    <col min="16134" max="16136" width="10.7109375" customWidth="1"/>
  </cols>
  <sheetData>
    <row r="1" spans="1:8" ht="18" customHeight="1">
      <c r="A1" s="197" t="s">
        <v>33</v>
      </c>
      <c r="B1" s="72"/>
      <c r="C1" s="72"/>
      <c r="D1" s="72"/>
      <c r="E1" s="72"/>
      <c r="F1" s="72"/>
      <c r="G1" s="72"/>
      <c r="H1" s="72"/>
    </row>
    <row r="2" spans="1:8" ht="18" customHeight="1">
      <c r="A2" s="198"/>
      <c r="B2" s="72"/>
      <c r="C2" s="72"/>
      <c r="D2" s="72"/>
      <c r="E2" s="72"/>
      <c r="F2" s="72"/>
      <c r="G2" s="72"/>
      <c r="H2" s="72"/>
    </row>
    <row r="3" spans="1:8" ht="18" customHeight="1">
      <c r="A3" s="65" t="s">
        <v>179</v>
      </c>
      <c r="B3" s="67"/>
      <c r="C3" s="67"/>
      <c r="D3" s="67"/>
      <c r="E3" s="67"/>
      <c r="F3" s="67"/>
      <c r="G3" s="210"/>
      <c r="H3" s="210"/>
    </row>
    <row r="4" spans="1:8">
      <c r="A4" s="68" t="s">
        <v>55</v>
      </c>
      <c r="B4" s="72"/>
      <c r="C4" s="72"/>
      <c r="D4" s="72"/>
      <c r="E4" s="72"/>
      <c r="F4" s="72"/>
      <c r="G4" s="72"/>
      <c r="H4" s="72"/>
    </row>
    <row r="5" spans="1:8">
      <c r="A5" s="201"/>
      <c r="B5" s="72"/>
      <c r="C5" s="200"/>
      <c r="D5" s="200"/>
      <c r="E5" s="200"/>
      <c r="F5" s="72"/>
      <c r="G5" s="72"/>
      <c r="H5" s="72"/>
    </row>
    <row r="6" spans="1:8" ht="15.75">
      <c r="A6" s="73"/>
      <c r="B6" s="315">
        <v>2017</v>
      </c>
      <c r="C6" s="316"/>
      <c r="D6" s="316"/>
      <c r="E6" s="316"/>
      <c r="F6" s="315">
        <v>2018</v>
      </c>
      <c r="G6" s="316"/>
      <c r="H6" s="316"/>
    </row>
    <row r="7" spans="1:8" ht="15.75">
      <c r="A7" s="73"/>
      <c r="B7" s="93" t="s">
        <v>751</v>
      </c>
      <c r="C7" s="93" t="s">
        <v>65</v>
      </c>
      <c r="D7" s="93" t="s">
        <v>752</v>
      </c>
      <c r="E7" s="93" t="s">
        <v>69</v>
      </c>
      <c r="F7" s="93" t="s">
        <v>751</v>
      </c>
      <c r="G7" s="93" t="s">
        <v>65</v>
      </c>
      <c r="H7" s="93" t="s">
        <v>752</v>
      </c>
    </row>
    <row r="8" spans="1:8">
      <c r="A8" s="139" t="s">
        <v>71</v>
      </c>
      <c r="B8" s="202">
        <v>208.24199922000005</v>
      </c>
      <c r="C8" s="77">
        <v>204.89200024000002</v>
      </c>
      <c r="D8" s="77">
        <v>188.79300063999989</v>
      </c>
      <c r="E8" s="203">
        <v>192.42999931999998</v>
      </c>
      <c r="F8" s="77">
        <v>209.32600000000005</v>
      </c>
      <c r="G8" s="77">
        <v>211.03100000000001</v>
      </c>
      <c r="H8" s="77">
        <v>206.93700000000001</v>
      </c>
    </row>
    <row r="9" spans="1:8">
      <c r="A9" s="125" t="s">
        <v>73</v>
      </c>
      <c r="B9" s="204">
        <v>23.251001370000004</v>
      </c>
      <c r="C9" s="82">
        <v>22.965781749999998</v>
      </c>
      <c r="D9" s="82">
        <v>22.658162400000002</v>
      </c>
      <c r="E9" s="205">
        <v>22.511831289999996</v>
      </c>
      <c r="F9" s="82">
        <v>23.590709549999996</v>
      </c>
      <c r="G9" s="82">
        <v>24.50307849</v>
      </c>
      <c r="H9" s="82">
        <v>22.139987790000017</v>
      </c>
    </row>
    <row r="10" spans="1:8">
      <c r="A10" s="125" t="s">
        <v>75</v>
      </c>
      <c r="B10" s="204">
        <v>18.54362373</v>
      </c>
      <c r="C10" s="82">
        <v>32.932912409999993</v>
      </c>
      <c r="D10" s="82">
        <v>16.60758131</v>
      </c>
      <c r="E10" s="205">
        <v>35.32889832</v>
      </c>
      <c r="F10" s="82">
        <v>14.073019979999982</v>
      </c>
      <c r="G10" s="82">
        <v>14.988929369999997</v>
      </c>
      <c r="H10" s="82">
        <v>16.105551300000002</v>
      </c>
    </row>
    <row r="11" spans="1:8">
      <c r="A11" s="125" t="s">
        <v>182</v>
      </c>
      <c r="B11" s="204">
        <v>1.8219994700000011</v>
      </c>
      <c r="C11" s="82">
        <v>4.9100005199999988</v>
      </c>
      <c r="D11" s="82">
        <v>5.4260008500000021</v>
      </c>
      <c r="E11" s="205">
        <v>4.4469995799999982</v>
      </c>
      <c r="F11" s="82">
        <v>6.5850000000000026</v>
      </c>
      <c r="G11" s="82">
        <v>4.2349999999999977</v>
      </c>
      <c r="H11" s="82">
        <v>2.1250000000000027</v>
      </c>
    </row>
    <row r="12" spans="1:8">
      <c r="A12" s="139" t="s">
        <v>83</v>
      </c>
      <c r="B12" s="202">
        <v>251.85862379000002</v>
      </c>
      <c r="C12" s="77">
        <v>265.70069492000005</v>
      </c>
      <c r="D12" s="77">
        <v>233.48474519999991</v>
      </c>
      <c r="E12" s="203">
        <v>254.71772850999997</v>
      </c>
      <c r="F12" s="77">
        <v>253.57472953000007</v>
      </c>
      <c r="G12" s="77">
        <v>254.75800785999999</v>
      </c>
      <c r="H12" s="77">
        <v>247.30753908999992</v>
      </c>
    </row>
    <row r="13" spans="1:8">
      <c r="A13" s="125" t="s">
        <v>85</v>
      </c>
      <c r="B13" s="204">
        <v>-98.336920939999999</v>
      </c>
      <c r="C13" s="82">
        <v>-90.365400640000004</v>
      </c>
      <c r="D13" s="82">
        <v>-85.844918759999985</v>
      </c>
      <c r="E13" s="205">
        <v>-87.631031399999998</v>
      </c>
      <c r="F13" s="82">
        <v>-92.360119129999987</v>
      </c>
      <c r="G13" s="82">
        <v>-91.80465061999999</v>
      </c>
      <c r="H13" s="82">
        <v>-90.882119380000006</v>
      </c>
    </row>
    <row r="14" spans="1:8">
      <c r="A14" s="125" t="s">
        <v>87</v>
      </c>
      <c r="B14" s="204">
        <v>-93.458922269999988</v>
      </c>
      <c r="C14" s="82">
        <v>-85.570398799999992</v>
      </c>
      <c r="D14" s="82">
        <v>-81.062918609999997</v>
      </c>
      <c r="E14" s="205">
        <v>-82.963032089999999</v>
      </c>
      <c r="F14" s="82">
        <v>-88.207119129999995</v>
      </c>
      <c r="G14" s="82">
        <v>-86.793650619999994</v>
      </c>
      <c r="H14" s="82">
        <v>-85.617119380000005</v>
      </c>
    </row>
    <row r="15" spans="1:8">
      <c r="A15" s="141" t="s">
        <v>89</v>
      </c>
      <c r="B15" s="204">
        <v>-47.498000759999996</v>
      </c>
      <c r="C15" s="82">
        <v>-42.197587899999995</v>
      </c>
      <c r="D15" s="82">
        <v>-38.855002579999997</v>
      </c>
      <c r="E15" s="205">
        <v>-38.077108300000006</v>
      </c>
      <c r="F15" s="82">
        <v>-42.890999999999998</v>
      </c>
      <c r="G15" s="82">
        <v>-40.963531240000002</v>
      </c>
      <c r="H15" s="82">
        <v>-42.027999999999999</v>
      </c>
    </row>
    <row r="16" spans="1:8">
      <c r="A16" s="141" t="s">
        <v>91</v>
      </c>
      <c r="B16" s="204">
        <v>-45.960921509999991</v>
      </c>
      <c r="C16" s="82">
        <v>-43.372810900000005</v>
      </c>
      <c r="D16" s="82">
        <v>-42.20791603</v>
      </c>
      <c r="E16" s="205">
        <v>-44.88592379</v>
      </c>
      <c r="F16" s="82">
        <v>-45.31611912999999</v>
      </c>
      <c r="G16" s="82">
        <v>-45.830119379999999</v>
      </c>
      <c r="H16" s="82">
        <v>-43.589119380000014</v>
      </c>
    </row>
    <row r="17" spans="1:8" ht="13.5" customHeight="1">
      <c r="A17" s="125" t="s">
        <v>93</v>
      </c>
      <c r="B17" s="204">
        <v>-4.8779986700000002</v>
      </c>
      <c r="C17" s="82">
        <v>-4.7950018399999994</v>
      </c>
      <c r="D17" s="82">
        <v>-4.78200015</v>
      </c>
      <c r="E17" s="205">
        <v>-4.6679993100000008</v>
      </c>
      <c r="F17" s="82">
        <v>-4.1530000000000005</v>
      </c>
      <c r="G17" s="82">
        <v>-5.0109999999999992</v>
      </c>
      <c r="H17" s="82">
        <v>-5.2649999999999997</v>
      </c>
    </row>
    <row r="18" spans="1:8" ht="12.75" customHeight="1">
      <c r="A18" s="139" t="s">
        <v>95</v>
      </c>
      <c r="B18" s="202">
        <v>153.52170285</v>
      </c>
      <c r="C18" s="77">
        <v>175.33529428</v>
      </c>
      <c r="D18" s="77">
        <v>147.63982643999989</v>
      </c>
      <c r="E18" s="203">
        <v>167.08669710999996</v>
      </c>
      <c r="F18" s="77">
        <v>161.21461040000008</v>
      </c>
      <c r="G18" s="77">
        <v>162.95335724</v>
      </c>
      <c r="H18" s="77">
        <v>156.42541971</v>
      </c>
    </row>
    <row r="19" spans="1:8" ht="13.5" customHeight="1">
      <c r="A19" s="125" t="s">
        <v>97</v>
      </c>
      <c r="B19" s="204">
        <v>-87.006999900000011</v>
      </c>
      <c r="C19" s="82">
        <v>-91.975001339999992</v>
      </c>
      <c r="D19" s="82">
        <v>-78.375998289999984</v>
      </c>
      <c r="E19" s="205">
        <v>-66.192000419999985</v>
      </c>
      <c r="F19" s="82">
        <v>-55.041000000000011</v>
      </c>
      <c r="G19" s="82">
        <v>-68.86699999999999</v>
      </c>
      <c r="H19" s="82">
        <v>-63.961000000000055</v>
      </c>
    </row>
    <row r="20" spans="1:8" ht="13.5" customHeight="1">
      <c r="A20" s="125" t="s">
        <v>291</v>
      </c>
      <c r="B20" s="204">
        <v>-5.3499999000000003</v>
      </c>
      <c r="C20" s="82">
        <v>-2.7599997900000002</v>
      </c>
      <c r="D20" s="82">
        <v>-3.6099999799999996</v>
      </c>
      <c r="E20" s="205">
        <v>-9.0210005099999986</v>
      </c>
      <c r="F20" s="82">
        <v>-2.8120000000000003</v>
      </c>
      <c r="G20" s="82">
        <v>-10.174000000000001</v>
      </c>
      <c r="H20" s="82">
        <v>1.6699999999999988</v>
      </c>
    </row>
    <row r="21" spans="1:8" ht="12.75" customHeight="1">
      <c r="A21" s="139" t="s">
        <v>103</v>
      </c>
      <c r="B21" s="202">
        <v>61.164703050000014</v>
      </c>
      <c r="C21" s="77">
        <v>80.600293149999999</v>
      </c>
      <c r="D21" s="77">
        <v>65.653828169999898</v>
      </c>
      <c r="E21" s="203">
        <v>91.873696179999968</v>
      </c>
      <c r="F21" s="77">
        <v>103.36161039999998</v>
      </c>
      <c r="G21" s="77">
        <v>83.912357240000006</v>
      </c>
      <c r="H21" s="77">
        <v>94.134419709999975</v>
      </c>
    </row>
    <row r="22" spans="1:8" ht="13.5" customHeight="1">
      <c r="A22" s="125" t="s">
        <v>105</v>
      </c>
      <c r="B22" s="204">
        <v>-22.485879180000005</v>
      </c>
      <c r="C22" s="82">
        <v>-32.582922580000002</v>
      </c>
      <c r="D22" s="82">
        <v>-15.166527969999999</v>
      </c>
      <c r="E22" s="205">
        <v>-16.067029019999996</v>
      </c>
      <c r="F22" s="82">
        <v>-37.081362319999997</v>
      </c>
      <c r="G22" s="82">
        <v>-22.432940559999999</v>
      </c>
      <c r="H22" s="82">
        <v>-34.181919319999999</v>
      </c>
    </row>
    <row r="23" spans="1:8" ht="13.5" customHeight="1">
      <c r="A23" s="139" t="s">
        <v>107</v>
      </c>
      <c r="B23" s="202">
        <v>38.678823870000016</v>
      </c>
      <c r="C23" s="77">
        <v>48.017370570000018</v>
      </c>
      <c r="D23" s="77">
        <v>50.4873001999999</v>
      </c>
      <c r="E23" s="203">
        <v>75.806667159999961</v>
      </c>
      <c r="F23" s="77">
        <v>66.280248079999978</v>
      </c>
      <c r="G23" s="77">
        <v>61.479416679999993</v>
      </c>
      <c r="H23" s="77">
        <v>59.952500389999962</v>
      </c>
    </row>
    <row r="24" spans="1:8" ht="12" customHeight="1">
      <c r="A24" s="125" t="s">
        <v>109</v>
      </c>
      <c r="B24" s="204">
        <v>-1.21320709</v>
      </c>
      <c r="C24" s="82">
        <v>-1.4861890400000002</v>
      </c>
      <c r="D24" s="82">
        <v>-1.7463837200000001</v>
      </c>
      <c r="E24" s="205">
        <v>-2.8641842599999996</v>
      </c>
      <c r="F24" s="82">
        <v>-2.5343449499999999</v>
      </c>
      <c r="G24" s="82">
        <v>-2.1609271100000007</v>
      </c>
      <c r="H24" s="82">
        <v>-2.3561997199999993</v>
      </c>
    </row>
    <row r="25" spans="1:8" ht="14.25" customHeight="1">
      <c r="A25" s="206" t="s">
        <v>111</v>
      </c>
      <c r="B25" s="207">
        <v>37.465616780000019</v>
      </c>
      <c r="C25" s="208">
        <v>46.531181529999998</v>
      </c>
      <c r="D25" s="208">
        <v>48.740916479999896</v>
      </c>
      <c r="E25" s="209">
        <v>72.942482899999959</v>
      </c>
      <c r="F25" s="208">
        <v>63.745903129999981</v>
      </c>
      <c r="G25" s="208">
        <v>59.318489569999997</v>
      </c>
      <c r="H25" s="208">
        <v>57.596300669999977</v>
      </c>
    </row>
    <row r="26" spans="1:8" ht="14.25" customHeight="1">
      <c r="A26" s="215"/>
      <c r="B26" s="72"/>
      <c r="C26" s="72"/>
      <c r="D26" s="72"/>
      <c r="E26" s="72"/>
      <c r="F26" s="72"/>
      <c r="G26" s="72"/>
      <c r="H26" s="72"/>
    </row>
    <row r="27" spans="1:8" ht="14.25" customHeight="1">
      <c r="A27" s="139"/>
      <c r="B27" s="77"/>
      <c r="C27" s="77"/>
      <c r="D27" s="77"/>
      <c r="E27" s="77"/>
      <c r="F27" s="77"/>
      <c r="G27" s="77"/>
      <c r="H27" s="77"/>
    </row>
    <row r="28" spans="1:8" ht="18" customHeight="1">
      <c r="A28" s="65" t="s">
        <v>181</v>
      </c>
      <c r="B28" s="67"/>
      <c r="C28" s="67"/>
      <c r="D28" s="67"/>
      <c r="E28" s="67"/>
      <c r="F28" s="67"/>
      <c r="G28" s="210"/>
      <c r="H28" s="210"/>
    </row>
    <row r="29" spans="1:8" ht="12.75" customHeight="1">
      <c r="A29" s="68" t="s">
        <v>55</v>
      </c>
      <c r="B29" s="72"/>
      <c r="C29" s="72"/>
      <c r="D29" s="72"/>
      <c r="E29" s="72"/>
      <c r="F29" s="72"/>
      <c r="G29" s="72"/>
      <c r="H29" s="72"/>
    </row>
    <row r="30" spans="1:8" ht="13.5" customHeight="1">
      <c r="A30" s="72"/>
      <c r="B30" s="59">
        <v>42825</v>
      </c>
      <c r="C30" s="59">
        <v>42916</v>
      </c>
      <c r="D30" s="59">
        <v>43008</v>
      </c>
      <c r="E30" s="59">
        <v>43100</v>
      </c>
      <c r="F30" s="59">
        <v>43190</v>
      </c>
      <c r="G30" s="59">
        <v>43281</v>
      </c>
      <c r="H30" s="59">
        <v>43373</v>
      </c>
    </row>
    <row r="31" spans="1:8" s="86" customFormat="1">
      <c r="A31" s="125" t="s">
        <v>120</v>
      </c>
      <c r="B31" s="204">
        <v>925</v>
      </c>
      <c r="C31" s="82">
        <v>1093</v>
      </c>
      <c r="D31" s="82">
        <v>965</v>
      </c>
      <c r="E31" s="205">
        <v>1326</v>
      </c>
      <c r="F31" s="82">
        <v>1216</v>
      </c>
      <c r="G31" s="82">
        <v>1257.2070000000003</v>
      </c>
      <c r="H31" s="82">
        <v>865.11099999999999</v>
      </c>
    </row>
    <row r="32" spans="1:8" s="86" customFormat="1">
      <c r="A32" s="125" t="s">
        <v>192</v>
      </c>
      <c r="B32" s="204">
        <v>2668</v>
      </c>
      <c r="C32" s="82">
        <v>2251</v>
      </c>
      <c r="D32" s="82">
        <v>1945</v>
      </c>
      <c r="E32" s="205">
        <v>2451</v>
      </c>
      <c r="F32" s="82">
        <v>2340</v>
      </c>
      <c r="G32" s="82">
        <v>2408.585</v>
      </c>
      <c r="H32" s="82">
        <v>2874.4490000000005</v>
      </c>
    </row>
    <row r="33" spans="1:8" s="86" customFormat="1">
      <c r="A33" s="125" t="s">
        <v>705</v>
      </c>
      <c r="B33" s="204">
        <v>13751</v>
      </c>
      <c r="C33" s="82">
        <v>12092</v>
      </c>
      <c r="D33" s="82">
        <v>12281</v>
      </c>
      <c r="E33" s="205">
        <v>12099</v>
      </c>
      <c r="F33" s="82">
        <v>12833</v>
      </c>
      <c r="G33" s="82">
        <v>13035.92</v>
      </c>
      <c r="H33" s="82">
        <v>12932.648999999999</v>
      </c>
    </row>
    <row r="34" spans="1:8" s="86" customFormat="1">
      <c r="A34" s="125" t="s">
        <v>195</v>
      </c>
      <c r="B34" s="204">
        <v>12576</v>
      </c>
      <c r="C34" s="82">
        <v>11482</v>
      </c>
      <c r="D34" s="82">
        <v>11722</v>
      </c>
      <c r="E34" s="205">
        <v>11881</v>
      </c>
      <c r="F34" s="82">
        <v>12345</v>
      </c>
      <c r="G34" s="82">
        <v>12542.679999999998</v>
      </c>
      <c r="H34" s="82">
        <v>12446.087999999998</v>
      </c>
    </row>
    <row r="35" spans="1:8" s="86" customFormat="1">
      <c r="A35" s="125" t="s">
        <v>140</v>
      </c>
      <c r="B35" s="204">
        <v>104</v>
      </c>
      <c r="C35" s="82">
        <v>93</v>
      </c>
      <c r="D35" s="82">
        <v>92</v>
      </c>
      <c r="E35" s="205">
        <v>89</v>
      </c>
      <c r="F35" s="82">
        <v>92</v>
      </c>
      <c r="G35" s="82">
        <v>90.40500000000003</v>
      </c>
      <c r="H35" s="82">
        <v>89.907999999999987</v>
      </c>
    </row>
    <row r="36" spans="1:8" s="86" customFormat="1">
      <c r="A36" s="125" t="s">
        <v>144</v>
      </c>
      <c r="B36" s="204">
        <v>279</v>
      </c>
      <c r="C36" s="82">
        <v>286</v>
      </c>
      <c r="D36" s="82">
        <v>313</v>
      </c>
      <c r="E36" s="205">
        <v>338</v>
      </c>
      <c r="F36" s="82">
        <v>414</v>
      </c>
      <c r="G36" s="82">
        <v>412.24199999999996</v>
      </c>
      <c r="H36" s="82">
        <v>437.94800000000004</v>
      </c>
    </row>
    <row r="37" spans="1:8">
      <c r="A37" s="206" t="s">
        <v>201</v>
      </c>
      <c r="B37" s="207">
        <v>17727</v>
      </c>
      <c r="C37" s="208">
        <v>15815</v>
      </c>
      <c r="D37" s="208">
        <v>15596</v>
      </c>
      <c r="E37" s="209">
        <v>16303</v>
      </c>
      <c r="F37" s="208">
        <v>16894</v>
      </c>
      <c r="G37" s="208">
        <v>17204.358999999997</v>
      </c>
      <c r="H37" s="208">
        <v>17200.064999999999</v>
      </c>
    </row>
    <row r="38" spans="1:8">
      <c r="A38" s="125" t="s">
        <v>207</v>
      </c>
      <c r="B38" s="204">
        <v>335</v>
      </c>
      <c r="C38" s="82">
        <v>314</v>
      </c>
      <c r="D38" s="82">
        <v>235</v>
      </c>
      <c r="E38" s="205">
        <v>395</v>
      </c>
      <c r="F38" s="82">
        <v>381</v>
      </c>
      <c r="G38" s="82">
        <v>339.65199999999999</v>
      </c>
      <c r="H38" s="82">
        <v>330.983</v>
      </c>
    </row>
    <row r="39" spans="1:8" s="86" customFormat="1">
      <c r="A39" s="125" t="s">
        <v>203</v>
      </c>
      <c r="B39" s="204">
        <v>490</v>
      </c>
      <c r="C39" s="82">
        <v>691</v>
      </c>
      <c r="D39" s="82">
        <v>712</v>
      </c>
      <c r="E39" s="205">
        <v>966</v>
      </c>
      <c r="F39" s="82">
        <v>456</v>
      </c>
      <c r="G39" s="82">
        <v>339.10199999999998</v>
      </c>
      <c r="H39" s="82">
        <v>331.71900000000005</v>
      </c>
    </row>
    <row r="40" spans="1:8" s="86" customFormat="1">
      <c r="A40" s="125" t="s">
        <v>205</v>
      </c>
      <c r="B40" s="204">
        <v>13700</v>
      </c>
      <c r="C40" s="82">
        <v>11951</v>
      </c>
      <c r="D40" s="82">
        <v>11756</v>
      </c>
      <c r="E40" s="205">
        <v>12098</v>
      </c>
      <c r="F40" s="82">
        <v>13051</v>
      </c>
      <c r="G40" s="82">
        <v>13467.644</v>
      </c>
      <c r="H40" s="82">
        <v>13425.740999999998</v>
      </c>
    </row>
    <row r="41" spans="1:8" s="86" customFormat="1" ht="13.5" customHeight="1">
      <c r="A41" s="125" t="s">
        <v>209</v>
      </c>
      <c r="B41" s="204">
        <v>792</v>
      </c>
      <c r="C41" s="82">
        <v>719</v>
      </c>
      <c r="D41" s="82">
        <v>651</v>
      </c>
      <c r="E41" s="205">
        <v>624</v>
      </c>
      <c r="F41" s="82">
        <v>612</v>
      </c>
      <c r="G41" s="82">
        <v>636.07500000000005</v>
      </c>
      <c r="H41" s="82">
        <v>609.63699999999994</v>
      </c>
    </row>
    <row r="42" spans="1:8" s="86" customFormat="1">
      <c r="A42" s="125" t="s">
        <v>166</v>
      </c>
      <c r="B42" s="204">
        <v>1352</v>
      </c>
      <c r="C42" s="82">
        <v>1103</v>
      </c>
      <c r="D42" s="82">
        <v>1268</v>
      </c>
      <c r="E42" s="205">
        <v>1255</v>
      </c>
      <c r="F42" s="82">
        <v>1411</v>
      </c>
      <c r="G42" s="82">
        <v>1392.7542799999994</v>
      </c>
      <c r="H42" s="82">
        <v>1462.2752079999998</v>
      </c>
    </row>
    <row r="43" spans="1:8" s="86" customFormat="1" ht="12.75" customHeight="1">
      <c r="A43" s="125" t="s">
        <v>214</v>
      </c>
      <c r="B43" s="204">
        <v>1058</v>
      </c>
      <c r="C43" s="82">
        <v>1036</v>
      </c>
      <c r="D43" s="82">
        <v>975</v>
      </c>
      <c r="E43" s="205">
        <v>965</v>
      </c>
      <c r="F43" s="82">
        <v>983</v>
      </c>
      <c r="G43" s="82">
        <v>1029.1317200000001</v>
      </c>
      <c r="H43" s="82">
        <v>1039.7097919999999</v>
      </c>
    </row>
    <row r="44" spans="1:8" ht="12.75" customHeight="1">
      <c r="A44" s="215"/>
      <c r="B44" s="69"/>
      <c r="C44" s="82"/>
      <c r="D44" s="82"/>
      <c r="E44" s="82"/>
      <c r="F44" s="82"/>
      <c r="G44" s="82"/>
      <c r="H44" s="82"/>
    </row>
    <row r="45" spans="1:8" ht="12.75" customHeight="1">
      <c r="A45" s="125"/>
      <c r="B45" s="69"/>
      <c r="C45" s="82"/>
      <c r="D45" s="82"/>
      <c r="E45" s="82"/>
      <c r="F45" s="82"/>
      <c r="G45" s="82"/>
      <c r="H45" s="82"/>
    </row>
    <row r="46" spans="1:8" ht="18">
      <c r="A46" s="65" t="s">
        <v>216</v>
      </c>
      <c r="B46" s="67"/>
      <c r="C46" s="67"/>
      <c r="D46" s="67"/>
      <c r="E46" s="67"/>
      <c r="F46" s="67"/>
      <c r="G46" s="210"/>
      <c r="H46" s="210"/>
    </row>
    <row r="47" spans="1:8" ht="13.5" customHeight="1">
      <c r="A47" s="68" t="s">
        <v>55</v>
      </c>
      <c r="B47" s="72"/>
      <c r="C47" s="72"/>
      <c r="D47" s="72"/>
      <c r="E47" s="72"/>
      <c r="F47" s="72"/>
      <c r="G47" s="72"/>
      <c r="H47" s="72"/>
    </row>
    <row r="48" spans="1:8" ht="12.75" customHeight="1">
      <c r="A48" s="72"/>
      <c r="B48" s="59">
        <v>42825</v>
      </c>
      <c r="C48" s="59">
        <v>42916</v>
      </c>
      <c r="D48" s="59">
        <v>43008</v>
      </c>
      <c r="E48" s="59">
        <v>43100</v>
      </c>
      <c r="F48" s="59">
        <v>43190</v>
      </c>
      <c r="G48" s="59">
        <v>43281</v>
      </c>
      <c r="H48" s="59">
        <v>43373</v>
      </c>
    </row>
    <row r="49" spans="1:8" ht="12" customHeight="1">
      <c r="A49" s="125" t="s">
        <v>218</v>
      </c>
      <c r="B49" s="214">
        <v>13123.494000000001</v>
      </c>
      <c r="C49" s="69">
        <v>12026.875</v>
      </c>
      <c r="D49" s="69">
        <v>12319.804</v>
      </c>
      <c r="E49" s="69">
        <v>12474.984999999999</v>
      </c>
      <c r="F49" s="214">
        <v>13003.86016762</v>
      </c>
      <c r="G49" s="69">
        <v>13293.489</v>
      </c>
      <c r="H49" s="69">
        <v>13238.142999999998</v>
      </c>
    </row>
    <row r="50" spans="1:8">
      <c r="A50" s="125" t="s">
        <v>549</v>
      </c>
      <c r="B50" s="214">
        <v>13909.287927753528</v>
      </c>
      <c r="C50" s="69">
        <v>12121.424519659349</v>
      </c>
      <c r="D50" s="69">
        <v>11988.944144136851</v>
      </c>
      <c r="E50" s="69">
        <v>12228.402612280001</v>
      </c>
      <c r="F50" s="214">
        <v>13039.47596372</v>
      </c>
      <c r="G50" s="69">
        <v>13298</v>
      </c>
      <c r="H50" s="69">
        <v>13447.41650078</v>
      </c>
    </row>
    <row r="51" spans="1:8">
      <c r="A51" s="125" t="s">
        <v>226</v>
      </c>
      <c r="B51" s="214">
        <v>942.72289578000004</v>
      </c>
      <c r="C51" s="69">
        <v>981.78050407000001</v>
      </c>
      <c r="D51" s="69">
        <v>1003.68651859</v>
      </c>
      <c r="E51" s="69">
        <v>1118.38065099</v>
      </c>
      <c r="F51" s="214">
        <v>1257.4631688500001</v>
      </c>
      <c r="G51" s="69">
        <v>1272.84703242</v>
      </c>
      <c r="H51" s="69">
        <v>1405.2295333</v>
      </c>
    </row>
    <row r="52" spans="1:8">
      <c r="A52" s="125" t="s">
        <v>377</v>
      </c>
      <c r="B52" s="213">
        <v>0</v>
      </c>
      <c r="C52" s="82">
        <v>0</v>
      </c>
      <c r="D52" s="82">
        <v>0</v>
      </c>
      <c r="E52" s="82">
        <v>0</v>
      </c>
      <c r="F52" s="213">
        <v>0</v>
      </c>
      <c r="G52" s="82" t="s">
        <v>744</v>
      </c>
      <c r="H52" s="82">
        <v>0</v>
      </c>
    </row>
    <row r="53" spans="1:8">
      <c r="A53" s="125" t="s">
        <v>540</v>
      </c>
      <c r="B53" s="213">
        <v>0</v>
      </c>
      <c r="C53" s="82">
        <v>0</v>
      </c>
      <c r="D53" s="82">
        <v>0</v>
      </c>
      <c r="E53" s="82">
        <v>0</v>
      </c>
      <c r="F53" s="213">
        <v>0</v>
      </c>
      <c r="G53" s="82" t="s">
        <v>744</v>
      </c>
      <c r="H53" s="82">
        <v>0</v>
      </c>
    </row>
    <row r="54" spans="1:8">
      <c r="A54" s="215" t="s">
        <v>538</v>
      </c>
      <c r="B54" s="69"/>
      <c r="C54" s="69"/>
      <c r="D54" s="69"/>
      <c r="E54" s="69"/>
      <c r="F54" s="69"/>
      <c r="G54" s="69"/>
      <c r="H54" s="69"/>
    </row>
    <row r="55" spans="1:8">
      <c r="A55" s="215" t="s">
        <v>500</v>
      </c>
      <c r="B55" s="72"/>
      <c r="C55" s="72"/>
      <c r="D55" s="72"/>
      <c r="E55" s="72"/>
      <c r="F55" s="72"/>
      <c r="G55" s="72"/>
      <c r="H55" s="72"/>
    </row>
    <row r="56" spans="1:8">
      <c r="A56" s="215"/>
      <c r="B56" s="72"/>
      <c r="C56" s="72"/>
      <c r="D56" s="72"/>
      <c r="E56" s="72"/>
      <c r="F56" s="72"/>
      <c r="G56" s="72"/>
      <c r="H56" s="72"/>
    </row>
    <row r="57" spans="1:8" ht="18">
      <c r="A57" s="65" t="s">
        <v>179</v>
      </c>
      <c r="B57" s="67"/>
      <c r="C57" s="67"/>
      <c r="D57" s="67"/>
      <c r="E57" s="67"/>
      <c r="F57" s="67"/>
      <c r="G57" s="210"/>
      <c r="H57" s="210"/>
    </row>
    <row r="58" spans="1:8">
      <c r="A58" s="68" t="s">
        <v>57</v>
      </c>
      <c r="B58" s="72"/>
      <c r="C58" s="72"/>
      <c r="D58" s="72"/>
      <c r="E58" s="72"/>
      <c r="F58" s="72"/>
      <c r="G58" s="72"/>
      <c r="H58" s="72"/>
    </row>
    <row r="59" spans="1:8">
      <c r="A59" s="201"/>
      <c r="B59" s="72"/>
      <c r="C59" s="200"/>
      <c r="D59" s="200"/>
      <c r="E59" s="200"/>
      <c r="F59" s="72"/>
      <c r="G59" s="212"/>
      <c r="H59" s="212"/>
    </row>
    <row r="60" spans="1:8" ht="15.75">
      <c r="A60" s="73"/>
      <c r="B60" s="315">
        <v>2017</v>
      </c>
      <c r="C60" s="316"/>
      <c r="D60" s="316"/>
      <c r="E60" s="316"/>
      <c r="F60" s="315">
        <v>2018</v>
      </c>
      <c r="G60" s="316"/>
      <c r="H60" s="316"/>
    </row>
    <row r="61" spans="1:8" ht="15.75">
      <c r="A61" s="73"/>
      <c r="B61" s="93" t="s">
        <v>751</v>
      </c>
      <c r="C61" s="93" t="s">
        <v>65</v>
      </c>
      <c r="D61" s="93" t="s">
        <v>752</v>
      </c>
      <c r="E61" s="93" t="s">
        <v>69</v>
      </c>
      <c r="F61" s="93" t="s">
        <v>751</v>
      </c>
      <c r="G61" s="93" t="s">
        <v>65</v>
      </c>
      <c r="H61" s="93" t="s">
        <v>752</v>
      </c>
    </row>
    <row r="62" spans="1:8">
      <c r="A62" s="139" t="s">
        <v>71</v>
      </c>
      <c r="B62" s="202">
        <v>188.13140116448594</v>
      </c>
      <c r="C62" s="77">
        <v>191.01056036526094</v>
      </c>
      <c r="D62" s="77">
        <v>193.18207135222031</v>
      </c>
      <c r="E62" s="203">
        <v>195.55439989069941</v>
      </c>
      <c r="F62" s="139">
        <v>212.9983859649123</v>
      </c>
      <c r="G62" s="139">
        <v>207.35861403508767</v>
      </c>
      <c r="H62" s="139">
        <v>206.93700000000007</v>
      </c>
    </row>
    <row r="63" spans="1:8">
      <c r="A63" s="125" t="s">
        <v>73</v>
      </c>
      <c r="B63" s="204">
        <v>21.005577561682237</v>
      </c>
      <c r="C63" s="82">
        <v>21.408558845912701</v>
      </c>
      <c r="D63" s="82">
        <v>23.073516709782115</v>
      </c>
      <c r="E63" s="205">
        <v>22.852897798956278</v>
      </c>
      <c r="F63" s="216">
        <v>24.004581647368425</v>
      </c>
      <c r="G63" s="216">
        <v>24.089206392631574</v>
      </c>
      <c r="H63" s="216">
        <v>22.13998779000001</v>
      </c>
    </row>
    <row r="64" spans="1:8">
      <c r="A64" s="125" t="s">
        <v>75</v>
      </c>
      <c r="B64" s="204">
        <v>16.752806485046726</v>
      </c>
      <c r="C64" s="82">
        <v>30.488318453560868</v>
      </c>
      <c r="D64" s="82">
        <v>17.494593292539946</v>
      </c>
      <c r="E64" s="205">
        <v>35.230197013185801</v>
      </c>
      <c r="F64" s="216">
        <v>14.319915067368409</v>
      </c>
      <c r="G64" s="216">
        <v>14.742034282631582</v>
      </c>
      <c r="H64" s="216">
        <v>16.105551299999988</v>
      </c>
    </row>
    <row r="65" spans="1:8" ht="17.25" customHeight="1">
      <c r="A65" s="125" t="s">
        <v>182</v>
      </c>
      <c r="B65" s="204">
        <v>1.6460431348909657</v>
      </c>
      <c r="C65" s="82">
        <v>4.5320581217546039</v>
      </c>
      <c r="D65" s="82">
        <v>5.3819651158134514</v>
      </c>
      <c r="E65" s="205">
        <v>4.4914340335409797</v>
      </c>
      <c r="F65" s="216">
        <v>6.7005263157894728</v>
      </c>
      <c r="G65" s="216">
        <v>4.1194736842105222</v>
      </c>
      <c r="H65" s="216">
        <v>2.1250000000000022</v>
      </c>
    </row>
    <row r="66" spans="1:8" ht="15.75" customHeight="1">
      <c r="A66" s="139" t="s">
        <v>83</v>
      </c>
      <c r="B66" s="202">
        <v>227.53582834610586</v>
      </c>
      <c r="C66" s="77">
        <v>247.43949578648912</v>
      </c>
      <c r="D66" s="77">
        <v>239.13214647035579</v>
      </c>
      <c r="E66" s="203">
        <v>258.12892873638248</v>
      </c>
      <c r="F66" s="139">
        <v>258.02340899543861</v>
      </c>
      <c r="G66" s="139">
        <v>250.30932839456136</v>
      </c>
      <c r="H66" s="139">
        <v>247.30753908999998</v>
      </c>
    </row>
    <row r="67" spans="1:8">
      <c r="A67" s="125" t="s">
        <v>85</v>
      </c>
      <c r="B67" s="204">
        <v>-88.840208948909648</v>
      </c>
      <c r="C67" s="82">
        <v>-84.335972247925795</v>
      </c>
      <c r="D67" s="82">
        <v>-87.868735847754735</v>
      </c>
      <c r="E67" s="205">
        <v>-89.060745637409866</v>
      </c>
      <c r="F67" s="216">
        <v>-93.980472097192987</v>
      </c>
      <c r="G67" s="216">
        <v>-90.184297652807018</v>
      </c>
      <c r="H67" s="216">
        <v>-90.882119380000006</v>
      </c>
    </row>
    <row r="68" spans="1:8">
      <c r="A68" s="125" t="s">
        <v>87</v>
      </c>
      <c r="B68" s="204">
        <v>-84.433294262616812</v>
      </c>
      <c r="C68" s="82">
        <v>-79.865766213016087</v>
      </c>
      <c r="D68" s="82">
        <v>-83.00175758076054</v>
      </c>
      <c r="E68" s="205">
        <v>-84.319277987939927</v>
      </c>
      <c r="F68" s="216">
        <v>-89.754612448070176</v>
      </c>
      <c r="G68" s="216">
        <v>-85.246157301929827</v>
      </c>
      <c r="H68" s="216">
        <v>-85.617119379999991</v>
      </c>
    </row>
    <row r="69" spans="1:8">
      <c r="A69" s="227" t="s">
        <v>89</v>
      </c>
      <c r="B69" s="204">
        <v>-42.910966418691586</v>
      </c>
      <c r="C69" s="82">
        <v>-39.404605452827404</v>
      </c>
      <c r="D69" s="82">
        <v>-39.912859143562983</v>
      </c>
      <c r="E69" s="205">
        <v>-38.845011873584717</v>
      </c>
      <c r="F69" s="216">
        <v>-43.643473684210527</v>
      </c>
      <c r="G69" s="216">
        <v>-40.21105755578948</v>
      </c>
      <c r="H69" s="216">
        <v>-42.027999999999999</v>
      </c>
    </row>
    <row r="70" spans="1:8">
      <c r="A70" s="227" t="s">
        <v>91</v>
      </c>
      <c r="B70" s="204">
        <v>-41.522327843925225</v>
      </c>
      <c r="C70" s="82">
        <v>-40.46116076018869</v>
      </c>
      <c r="D70" s="82">
        <v>-43.088898437197557</v>
      </c>
      <c r="E70" s="205">
        <v>-45.474266114355203</v>
      </c>
      <c r="F70" s="216">
        <v>-46.11113876385965</v>
      </c>
      <c r="G70" s="216">
        <v>-45.035099746140347</v>
      </c>
      <c r="H70" s="216">
        <v>-43.58911938</v>
      </c>
    </row>
    <row r="71" spans="1:8" ht="13.5" customHeight="1">
      <c r="A71" s="125" t="s">
        <v>93</v>
      </c>
      <c r="B71" s="204">
        <v>-4.4069146862928346</v>
      </c>
      <c r="C71" s="82">
        <v>-4.4702060349096966</v>
      </c>
      <c r="D71" s="82">
        <v>-4.8669782669941899</v>
      </c>
      <c r="E71" s="205">
        <v>-4.7414676494699464</v>
      </c>
      <c r="F71" s="216">
        <v>-4.2258596491228069</v>
      </c>
      <c r="G71" s="216">
        <v>-4.9381403508771928</v>
      </c>
      <c r="H71" s="216">
        <v>-5.2650000000000006</v>
      </c>
    </row>
    <row r="72" spans="1:8" ht="14.25" customHeight="1">
      <c r="A72" s="139" t="s">
        <v>95</v>
      </c>
      <c r="B72" s="202">
        <v>138.6956193971962</v>
      </c>
      <c r="C72" s="77">
        <v>163.10352353856334</v>
      </c>
      <c r="D72" s="77">
        <v>151.2634106226011</v>
      </c>
      <c r="E72" s="203">
        <v>169.06818309897264</v>
      </c>
      <c r="F72" s="139">
        <v>164.04293689824561</v>
      </c>
      <c r="G72" s="139">
        <v>160.1250307417543</v>
      </c>
      <c r="H72" s="139">
        <v>156.42541971000003</v>
      </c>
    </row>
    <row r="73" spans="1:8">
      <c r="A73" s="125" t="s">
        <v>97</v>
      </c>
      <c r="B73" s="204">
        <v>-78.604454738317742</v>
      </c>
      <c r="C73" s="82">
        <v>-85.651179311049333</v>
      </c>
      <c r="D73" s="82">
        <v>-80.445414684075558</v>
      </c>
      <c r="E73" s="205">
        <v>-68.063951218224034</v>
      </c>
      <c r="F73" s="216">
        <v>-56.006631578947363</v>
      </c>
      <c r="G73" s="216">
        <v>-67.901368421052624</v>
      </c>
      <c r="H73" s="216">
        <v>-63.961000000000048</v>
      </c>
    </row>
    <row r="74" spans="1:8" ht="16.5" customHeight="1">
      <c r="A74" s="125" t="s">
        <v>291</v>
      </c>
      <c r="B74" s="204">
        <v>-4.8333332429906548</v>
      </c>
      <c r="C74" s="82">
        <v>-2.6093879915030165</v>
      </c>
      <c r="D74" s="82">
        <v>-3.700885009112886</v>
      </c>
      <c r="E74" s="205">
        <v>-8.9060272637267772</v>
      </c>
      <c r="F74" s="216">
        <v>-2.8613333333333331</v>
      </c>
      <c r="G74" s="216">
        <v>-10.124666666666666</v>
      </c>
      <c r="H74" s="216">
        <v>1.6699999999999995</v>
      </c>
    </row>
    <row r="75" spans="1:8" ht="12.75" customHeight="1">
      <c r="A75" s="139" t="s">
        <v>103</v>
      </c>
      <c r="B75" s="202">
        <v>55.257831415887821</v>
      </c>
      <c r="C75" s="77">
        <v>74.842956236010963</v>
      </c>
      <c r="D75" s="77">
        <v>67.117110929412661</v>
      </c>
      <c r="E75" s="203">
        <v>92.098204617021793</v>
      </c>
      <c r="F75" s="139">
        <v>105.17497198596499</v>
      </c>
      <c r="G75" s="139">
        <v>82.098995654035008</v>
      </c>
      <c r="H75" s="139">
        <v>94.134419710000003</v>
      </c>
    </row>
    <row r="76" spans="1:8" ht="13.5" customHeight="1">
      <c r="A76" s="125" t="s">
        <v>105</v>
      </c>
      <c r="B76" s="204">
        <v>-20.314345676635511</v>
      </c>
      <c r="C76" s="82">
        <v>-30.22347872336449</v>
      </c>
      <c r="D76" s="82">
        <v>-16.24330878590164</v>
      </c>
      <c r="E76" s="205">
        <v>-16.6444802724317</v>
      </c>
      <c r="F76" s="216">
        <v>-37.731912536140349</v>
      </c>
      <c r="G76" s="216">
        <v>-21.782390343859646</v>
      </c>
      <c r="H76" s="216">
        <v>-34.181919319999999</v>
      </c>
    </row>
    <row r="77" spans="1:8" ht="12.75" customHeight="1">
      <c r="A77" s="139" t="s">
        <v>107</v>
      </c>
      <c r="B77" s="202">
        <v>34.943485739252303</v>
      </c>
      <c r="C77" s="77">
        <v>44.619477512646483</v>
      </c>
      <c r="D77" s="77">
        <v>50.873802143511014</v>
      </c>
      <c r="E77" s="203">
        <v>75.453724344590086</v>
      </c>
      <c r="F77" s="139">
        <v>67.443059449824617</v>
      </c>
      <c r="G77" s="139">
        <v>60.316605310175362</v>
      </c>
      <c r="H77" s="139">
        <v>59.952500390000012</v>
      </c>
    </row>
    <row r="78" spans="1:8" ht="12.75" customHeight="1">
      <c r="A78" s="125" t="s">
        <v>109</v>
      </c>
      <c r="B78" s="204">
        <v>-1.0960437884735201</v>
      </c>
      <c r="C78" s="82">
        <v>-1.3812501282986318</v>
      </c>
      <c r="D78" s="82">
        <v>-1.749841022572111</v>
      </c>
      <c r="E78" s="205">
        <v>-2.8391637003224046</v>
      </c>
      <c r="F78" s="216">
        <v>-2.578807142105263</v>
      </c>
      <c r="G78" s="216">
        <v>-2.1164649178947372</v>
      </c>
      <c r="H78" s="216">
        <v>-2.3561997199999993</v>
      </c>
    </row>
    <row r="79" spans="1:8" ht="15" customHeight="1">
      <c r="A79" s="206" t="s">
        <v>111</v>
      </c>
      <c r="B79" s="207">
        <v>33.847441950778787</v>
      </c>
      <c r="C79" s="208">
        <v>43.238227384347852</v>
      </c>
      <c r="D79" s="208">
        <v>49.123961120938908</v>
      </c>
      <c r="E79" s="209">
        <v>72.614560644267669</v>
      </c>
      <c r="F79" s="206">
        <v>64.864252307719354</v>
      </c>
      <c r="G79" s="206">
        <v>58.20014039228063</v>
      </c>
      <c r="H79" s="206">
        <v>57.596300670000012</v>
      </c>
    </row>
    <row r="80" spans="1:8" s="86" customFormat="1" ht="15" customHeight="1">
      <c r="A80" s="215"/>
      <c r="B80" s="77"/>
      <c r="C80" s="77"/>
      <c r="D80" s="77"/>
      <c r="E80" s="77"/>
      <c r="F80" s="139"/>
      <c r="G80" s="139"/>
      <c r="H80" s="139"/>
    </row>
    <row r="81" spans="1:8" s="86" customFormat="1" ht="15" customHeight="1">
      <c r="A81" s="139"/>
      <c r="B81" s="77"/>
      <c r="C81" s="77"/>
      <c r="D81" s="77"/>
      <c r="E81" s="77"/>
      <c r="F81" s="139"/>
      <c r="G81" s="139"/>
      <c r="H81" s="139"/>
    </row>
    <row r="82" spans="1:8" ht="17.25" customHeight="1">
      <c r="A82" s="65" t="s">
        <v>181</v>
      </c>
      <c r="B82" s="67"/>
      <c r="C82" s="67"/>
      <c r="D82" s="67"/>
      <c r="E82" s="67"/>
      <c r="F82" s="67"/>
      <c r="G82" s="210"/>
      <c r="H82" s="210"/>
    </row>
    <row r="83" spans="1:8">
      <c r="A83" s="68" t="s">
        <v>57</v>
      </c>
      <c r="B83" s="72"/>
      <c r="C83" s="72"/>
      <c r="D83" s="72"/>
      <c r="E83" s="72"/>
      <c r="F83" s="72"/>
      <c r="G83" s="72"/>
      <c r="H83" s="72"/>
    </row>
    <row r="84" spans="1:8" ht="15.75">
      <c r="A84" s="72"/>
      <c r="B84" s="59">
        <v>42825</v>
      </c>
      <c r="C84" s="59">
        <v>42916</v>
      </c>
      <c r="D84" s="59">
        <v>43008</v>
      </c>
      <c r="E84" s="59">
        <v>43100</v>
      </c>
      <c r="F84" s="59">
        <v>43190</v>
      </c>
      <c r="G84" s="59">
        <v>43281</v>
      </c>
      <c r="H84" s="59">
        <v>43373</v>
      </c>
    </row>
    <row r="85" spans="1:8" s="86" customFormat="1">
      <c r="A85" s="125" t="s">
        <v>120</v>
      </c>
      <c r="B85" s="204">
        <v>822.68162769230776</v>
      </c>
      <c r="C85" s="82">
        <v>1096.7539965277781</v>
      </c>
      <c r="D85" s="82">
        <v>968.06671180555543</v>
      </c>
      <c r="E85" s="205">
        <v>1373.7122974910392</v>
      </c>
      <c r="F85" s="82">
        <v>1203.5820684931509</v>
      </c>
      <c r="G85" s="82">
        <v>1248.5664020618556</v>
      </c>
      <c r="H85" s="82">
        <v>865.11099999999999</v>
      </c>
    </row>
    <row r="86" spans="1:8" s="86" customFormat="1">
      <c r="A86" s="125" t="s">
        <v>192</v>
      </c>
      <c r="B86" s="204">
        <v>2372.1742461538465</v>
      </c>
      <c r="C86" s="82">
        <v>2259.1511319444444</v>
      </c>
      <c r="D86" s="82">
        <v>1951.7574861111113</v>
      </c>
      <c r="E86" s="205">
        <v>2538.599824372759</v>
      </c>
      <c r="F86" s="82">
        <v>2315.4719589041092</v>
      </c>
      <c r="G86" s="82">
        <v>2392.0311512027488</v>
      </c>
      <c r="H86" s="82">
        <v>2874.4490000000001</v>
      </c>
    </row>
    <row r="87" spans="1:8" s="86" customFormat="1">
      <c r="A87" s="125" t="s">
        <v>705</v>
      </c>
      <c r="B87" s="204">
        <v>12227.609563076918</v>
      </c>
      <c r="C87" s="82">
        <v>12134.399541666668</v>
      </c>
      <c r="D87" s="82">
        <v>12324.142090277779</v>
      </c>
      <c r="E87" s="205">
        <v>12532.318229390687</v>
      </c>
      <c r="F87" s="82">
        <v>12701.11452054795</v>
      </c>
      <c r="G87" s="82">
        <v>12946.326048109962</v>
      </c>
      <c r="H87" s="82">
        <v>12932.648999999999</v>
      </c>
    </row>
    <row r="88" spans="1:8" s="86" customFormat="1">
      <c r="A88" s="125" t="s">
        <v>195</v>
      </c>
      <c r="B88" s="204">
        <v>11182.990163076922</v>
      </c>
      <c r="C88" s="82">
        <v>11521.609159722224</v>
      </c>
      <c r="D88" s="82">
        <v>11763.093746527782</v>
      </c>
      <c r="E88" s="205">
        <v>12307.074322580649</v>
      </c>
      <c r="F88" s="82">
        <v>12218.367732876713</v>
      </c>
      <c r="G88" s="82">
        <v>12456.476013745701</v>
      </c>
      <c r="H88" s="82">
        <v>12446.087999999998</v>
      </c>
    </row>
    <row r="89" spans="1:8" s="86" customFormat="1">
      <c r="A89" s="125" t="s">
        <v>140</v>
      </c>
      <c r="B89" s="204">
        <v>92.728095384615401</v>
      </c>
      <c r="C89" s="82">
        <v>93.08208333333333</v>
      </c>
      <c r="D89" s="82">
        <v>92.116743055555574</v>
      </c>
      <c r="E89" s="205">
        <v>92.438566308243708</v>
      </c>
      <c r="F89" s="82">
        <v>90.689585616438322</v>
      </c>
      <c r="G89" s="82">
        <v>89.783659793814394</v>
      </c>
      <c r="H89" s="82">
        <v>89.907999999999987</v>
      </c>
    </row>
    <row r="90" spans="1:8" s="86" customFormat="1">
      <c r="A90" s="125" t="s">
        <v>144</v>
      </c>
      <c r="B90" s="204">
        <v>248.25321703016442</v>
      </c>
      <c r="C90" s="82">
        <v>287.1100684745478</v>
      </c>
      <c r="D90" s="82">
        <v>314.53335069444444</v>
      </c>
      <c r="E90" s="205">
        <v>350.67358238247471</v>
      </c>
      <c r="F90" s="82">
        <v>409.84950684931511</v>
      </c>
      <c r="G90" s="82">
        <v>409.40872164948451</v>
      </c>
      <c r="H90" s="82">
        <v>437.94800000000004</v>
      </c>
    </row>
    <row r="91" spans="1:8">
      <c r="A91" s="206" t="s">
        <v>201</v>
      </c>
      <c r="B91" s="208">
        <v>15763.446749337851</v>
      </c>
      <c r="C91" s="208">
        <v>15870.49682194677</v>
      </c>
      <c r="D91" s="208">
        <v>15650.616381944446</v>
      </c>
      <c r="E91" s="208">
        <v>16887.742499945201</v>
      </c>
      <c r="F91" s="208">
        <v>16720.707640410965</v>
      </c>
      <c r="G91" s="208">
        <v>17086.115982817868</v>
      </c>
      <c r="H91" s="208">
        <v>17200.064999999999</v>
      </c>
    </row>
    <row r="92" spans="1:8">
      <c r="A92" s="125" t="s">
        <v>207</v>
      </c>
      <c r="B92" s="204">
        <v>298.07104307692299</v>
      </c>
      <c r="C92" s="82">
        <v>315.48464236111107</v>
      </c>
      <c r="D92" s="82">
        <v>235.82500347222222</v>
      </c>
      <c r="E92" s="205">
        <v>409.14631182795699</v>
      </c>
      <c r="F92" s="82">
        <v>377.4221232876713</v>
      </c>
      <c r="G92" s="82">
        <v>337.31762199312715</v>
      </c>
      <c r="H92" s="82">
        <v>330.983</v>
      </c>
    </row>
    <row r="93" spans="1:8" s="86" customFormat="1">
      <c r="A93" s="125" t="s">
        <v>203</v>
      </c>
      <c r="B93" s="204">
        <v>435.68750769230769</v>
      </c>
      <c r="C93" s="82">
        <v>693.87093750000008</v>
      </c>
      <c r="D93" s="82">
        <v>714.86658680555547</v>
      </c>
      <c r="E93" s="205">
        <v>1000.8360035842295</v>
      </c>
      <c r="F93" s="82">
        <v>451.3962260273974</v>
      </c>
      <c r="G93" s="82">
        <v>336.77140206185561</v>
      </c>
      <c r="H93" s="82">
        <v>331.71900000000005</v>
      </c>
    </row>
    <row r="94" spans="1:8" s="86" customFormat="1">
      <c r="A94" s="125" t="s">
        <v>205</v>
      </c>
      <c r="B94" s="204">
        <v>12182.181430769231</v>
      </c>
      <c r="C94" s="82">
        <v>11992.575802083335</v>
      </c>
      <c r="D94" s="82">
        <v>11796.540479166655</v>
      </c>
      <c r="E94" s="205">
        <v>12531.669792114697</v>
      </c>
      <c r="F94" s="82">
        <v>12917.146969178084</v>
      </c>
      <c r="G94" s="82">
        <v>13375.082872852236</v>
      </c>
      <c r="H94" s="82">
        <v>13425.740999999998</v>
      </c>
    </row>
    <row r="95" spans="1:8" s="86" customFormat="1">
      <c r="A95" s="125" t="s">
        <v>209</v>
      </c>
      <c r="B95" s="204">
        <v>704.27343692307704</v>
      </c>
      <c r="C95" s="82">
        <v>721.60791319444434</v>
      </c>
      <c r="D95" s="82">
        <v>653.10287152777778</v>
      </c>
      <c r="E95" s="205">
        <v>646.82964874551965</v>
      </c>
      <c r="F95" s="82">
        <v>605.87167465753419</v>
      </c>
      <c r="G95" s="82">
        <v>631.70335051546385</v>
      </c>
      <c r="H95" s="82">
        <v>609.63699999999994</v>
      </c>
    </row>
    <row r="96" spans="1:8" s="86" customFormat="1">
      <c r="A96" s="125" t="s">
        <v>166</v>
      </c>
      <c r="B96" s="204">
        <v>1202.2807918609274</v>
      </c>
      <c r="C96" s="82">
        <v>1107.2460090995505</v>
      </c>
      <c r="D96" s="82">
        <v>1272.1516665809115</v>
      </c>
      <c r="E96" s="205">
        <v>1299.726941687424</v>
      </c>
      <c r="F96" s="82">
        <v>1396.1473063869867</v>
      </c>
      <c r="G96" s="82">
        <v>1383.1820856357367</v>
      </c>
      <c r="H96" s="82">
        <v>1462.2752079999998</v>
      </c>
    </row>
    <row r="97" spans="1:9" s="86" customFormat="1" ht="12" customHeight="1">
      <c r="A97" s="125" t="s">
        <v>214</v>
      </c>
      <c r="B97" s="204">
        <v>940.95253901538445</v>
      </c>
      <c r="C97" s="82">
        <v>1039.7115177083333</v>
      </c>
      <c r="D97" s="82">
        <v>978.12977439131964</v>
      </c>
      <c r="E97" s="205">
        <v>999.53380198537593</v>
      </c>
      <c r="F97" s="82">
        <v>972.72334087328784</v>
      </c>
      <c r="G97" s="82">
        <v>1022.0586497594501</v>
      </c>
      <c r="H97" s="82">
        <v>1039.7097919999999</v>
      </c>
    </row>
    <row r="98" spans="1:9" ht="12" customHeight="1">
      <c r="A98" s="215"/>
      <c r="B98" s="69"/>
      <c r="C98" s="82"/>
      <c r="D98" s="82"/>
      <c r="E98" s="82"/>
      <c r="F98" s="82"/>
      <c r="G98" s="82"/>
      <c r="H98" s="82"/>
    </row>
    <row r="99" spans="1:9" ht="12" customHeight="1">
      <c r="A99" s="125"/>
      <c r="B99" s="69"/>
      <c r="C99" s="82"/>
      <c r="D99" s="82"/>
      <c r="E99" s="82"/>
      <c r="F99" s="82"/>
      <c r="G99" s="82"/>
      <c r="H99" s="82"/>
    </row>
    <row r="100" spans="1:9" ht="18">
      <c r="A100" s="65" t="s">
        <v>216</v>
      </c>
      <c r="B100" s="67"/>
      <c r="C100" s="67"/>
      <c r="D100" s="67"/>
      <c r="E100" s="67"/>
      <c r="F100" s="67"/>
      <c r="G100" s="210"/>
      <c r="H100" s="210"/>
    </row>
    <row r="101" spans="1:9">
      <c r="A101" s="68" t="s">
        <v>57</v>
      </c>
      <c r="B101" s="72"/>
      <c r="C101" s="72"/>
      <c r="D101" s="72"/>
      <c r="E101" s="72"/>
      <c r="F101" s="72"/>
      <c r="G101" s="72"/>
      <c r="H101" s="72"/>
    </row>
    <row r="102" spans="1:9" ht="15.75">
      <c r="A102" s="72"/>
      <c r="B102" s="59">
        <v>42825</v>
      </c>
      <c r="C102" s="59">
        <v>42916</v>
      </c>
      <c r="D102" s="59">
        <v>43008</v>
      </c>
      <c r="E102" s="59">
        <v>43100</v>
      </c>
      <c r="F102" s="59">
        <v>43190</v>
      </c>
      <c r="G102" s="59">
        <v>43281</v>
      </c>
      <c r="H102" s="59">
        <v>43373</v>
      </c>
    </row>
    <row r="103" spans="1:9">
      <c r="A103" s="125" t="s">
        <v>218</v>
      </c>
      <c r="B103" s="214">
        <v>11669.814664615385</v>
      </c>
      <c r="C103" s="69">
        <v>12068.634982638889</v>
      </c>
      <c r="D103" s="69">
        <v>12362.581097222223</v>
      </c>
      <c r="E103" s="69">
        <v>12922.117078853047</v>
      </c>
      <c r="F103" s="214">
        <v>12870.258864528014</v>
      </c>
      <c r="G103" s="69">
        <v>13202.124814432987</v>
      </c>
      <c r="H103" s="69">
        <v>13238.142999999998</v>
      </c>
    </row>
    <row r="104" spans="1:9">
      <c r="A104" s="125" t="s">
        <v>549</v>
      </c>
      <c r="B104" s="214">
        <v>12368.566803448522</v>
      </c>
      <c r="C104" s="69">
        <v>12163.5127992415</v>
      </c>
      <c r="D104" s="69">
        <v>12030.572422415104</v>
      </c>
      <c r="E104" s="69">
        <v>12666.696612720145</v>
      </c>
      <c r="F104" s="214">
        <v>12905.508744914658</v>
      </c>
      <c r="G104" s="69">
        <v>13206.350735981167</v>
      </c>
      <c r="H104" s="69">
        <v>13447.41650078</v>
      </c>
    </row>
    <row r="105" spans="1:9">
      <c r="A105" s="125" t="s">
        <v>226</v>
      </c>
      <c r="B105" s="214">
        <v>838.29820578590784</v>
      </c>
      <c r="C105" s="69">
        <v>985.1894641535763</v>
      </c>
      <c r="D105" s="69">
        <v>1007.171541223993</v>
      </c>
      <c r="E105" s="69">
        <v>1158.4659789824732</v>
      </c>
      <c r="F105" s="214">
        <v>1244.5440267042809</v>
      </c>
      <c r="G105" s="69">
        <v>1264.098942850103</v>
      </c>
      <c r="H105" s="69">
        <v>1405.2295333</v>
      </c>
    </row>
    <row r="106" spans="1:9">
      <c r="A106" s="125" t="s">
        <v>377</v>
      </c>
      <c r="B106" s="214">
        <v>0</v>
      </c>
      <c r="C106" s="82">
        <v>0</v>
      </c>
      <c r="D106" s="82">
        <v>0</v>
      </c>
      <c r="E106" s="82">
        <v>0</v>
      </c>
      <c r="F106" s="213">
        <v>0</v>
      </c>
      <c r="G106" s="82">
        <v>0</v>
      </c>
      <c r="H106" s="69">
        <v>0</v>
      </c>
    </row>
    <row r="107" spans="1:9">
      <c r="A107" s="125" t="s">
        <v>540</v>
      </c>
      <c r="B107" s="214">
        <v>0</v>
      </c>
      <c r="C107" s="82">
        <v>0</v>
      </c>
      <c r="D107" s="82">
        <v>0</v>
      </c>
      <c r="E107" s="82">
        <v>0</v>
      </c>
      <c r="F107" s="213">
        <v>0</v>
      </c>
      <c r="G107" s="82">
        <v>0</v>
      </c>
      <c r="H107" s="69">
        <v>0</v>
      </c>
    </row>
    <row r="108" spans="1:9">
      <c r="A108" s="215" t="s">
        <v>538</v>
      </c>
      <c r="B108" s="212"/>
      <c r="C108" s="216"/>
      <c r="D108" s="216"/>
      <c r="E108" s="216"/>
      <c r="F108" s="216"/>
      <c r="G108" s="72"/>
      <c r="H108" s="72"/>
    </row>
    <row r="109" spans="1:9">
      <c r="A109" s="215" t="s">
        <v>500</v>
      </c>
      <c r="B109" s="212"/>
      <c r="C109" s="216"/>
      <c r="D109" s="216"/>
      <c r="E109" s="216"/>
      <c r="F109" s="216"/>
      <c r="G109" s="72"/>
      <c r="H109" s="72"/>
    </row>
    <row r="110" spans="1:9">
      <c r="A110" s="215"/>
      <c r="B110" s="212"/>
      <c r="C110" s="216"/>
      <c r="D110" s="216"/>
      <c r="E110" s="216"/>
      <c r="F110" s="216"/>
      <c r="G110" s="72"/>
      <c r="H110" s="72"/>
    </row>
    <row r="111" spans="1:9" s="229" customFormat="1" ht="18">
      <c r="A111" s="65" t="s">
        <v>179</v>
      </c>
      <c r="B111" s="67"/>
      <c r="C111" s="67"/>
      <c r="D111" s="67"/>
      <c r="E111" s="67"/>
      <c r="F111" s="67"/>
      <c r="G111" s="210"/>
      <c r="H111" s="210"/>
      <c r="I111" s="311"/>
    </row>
    <row r="112" spans="1:9" ht="15.75" customHeight="1">
      <c r="A112" s="68" t="s">
        <v>581</v>
      </c>
      <c r="B112" s="72"/>
      <c r="C112" s="72"/>
      <c r="D112" s="72"/>
      <c r="E112" s="72"/>
      <c r="F112" s="72"/>
      <c r="G112" s="72"/>
      <c r="H112" s="72"/>
    </row>
    <row r="113" spans="1:8" ht="15.75" customHeight="1">
      <c r="A113" s="201"/>
      <c r="B113" s="72"/>
      <c r="C113" s="200"/>
      <c r="D113" s="200"/>
      <c r="E113" s="200"/>
      <c r="F113" s="72"/>
      <c r="G113" s="212"/>
      <c r="H113" s="212"/>
    </row>
    <row r="114" spans="1:8" ht="15.75">
      <c r="A114" s="73"/>
      <c r="B114" s="315">
        <v>2017</v>
      </c>
      <c r="C114" s="316"/>
      <c r="D114" s="316"/>
      <c r="E114" s="316"/>
      <c r="F114" s="315">
        <v>2018</v>
      </c>
      <c r="G114" s="316"/>
      <c r="H114" s="316"/>
    </row>
    <row r="115" spans="1:8" ht="15.75">
      <c r="A115" s="73"/>
      <c r="B115" s="93" t="s">
        <v>751</v>
      </c>
      <c r="C115" s="93" t="s">
        <v>65</v>
      </c>
      <c r="D115" s="93" t="s">
        <v>752</v>
      </c>
      <c r="E115" s="93" t="s">
        <v>69</v>
      </c>
      <c r="F115" s="93" t="s">
        <v>751</v>
      </c>
      <c r="G115" s="93" t="s">
        <v>65</v>
      </c>
      <c r="H115" s="93" t="s">
        <v>752</v>
      </c>
    </row>
    <row r="116" spans="1:8">
      <c r="A116" s="139" t="s">
        <v>71</v>
      </c>
      <c r="B116" s="202">
        <v>648728.96953271027</v>
      </c>
      <c r="C116" s="77">
        <v>658657.10470779636</v>
      </c>
      <c r="D116" s="77">
        <v>666145.07362834609</v>
      </c>
      <c r="E116" s="203">
        <v>674325.51686448057</v>
      </c>
      <c r="F116" s="139">
        <v>734477.1929824563</v>
      </c>
      <c r="G116" s="139">
        <v>715029.70356926811</v>
      </c>
      <c r="H116" s="139">
        <v>713575.86206896533</v>
      </c>
    </row>
    <row r="117" spans="1:8">
      <c r="A117" s="125" t="s">
        <v>73</v>
      </c>
      <c r="B117" s="204">
        <v>72433.026074766371</v>
      </c>
      <c r="C117" s="82">
        <v>73822.61671004376</v>
      </c>
      <c r="D117" s="82">
        <v>79563.850723386626</v>
      </c>
      <c r="E117" s="205">
        <v>78803.095858469926</v>
      </c>
      <c r="F117" s="216">
        <v>82774.419473684218</v>
      </c>
      <c r="G117" s="216">
        <v>83066.228940108864</v>
      </c>
      <c r="H117" s="216">
        <v>76344.785482758671</v>
      </c>
    </row>
    <row r="118" spans="1:8">
      <c r="A118" s="125" t="s">
        <v>75</v>
      </c>
      <c r="B118" s="204">
        <v>57768.298224299069</v>
      </c>
      <c r="C118" s="82">
        <v>105132.13259848575</v>
      </c>
      <c r="D118" s="82">
        <v>60326.183767379109</v>
      </c>
      <c r="E118" s="205">
        <v>121483.43797650274</v>
      </c>
      <c r="F118" s="216">
        <v>49379.017473684231</v>
      </c>
      <c r="G118" s="216">
        <v>50834.600974591653</v>
      </c>
      <c r="H118" s="216">
        <v>55536.383793103509</v>
      </c>
    </row>
    <row r="119" spans="1:8">
      <c r="A119" s="125" t="s">
        <v>182</v>
      </c>
      <c r="B119" s="204">
        <v>5676.0108099688459</v>
      </c>
      <c r="C119" s="82">
        <v>15627.786626740011</v>
      </c>
      <c r="D119" s="82">
        <v>18558.500399356704</v>
      </c>
      <c r="E119" s="205">
        <v>15487.703563934443</v>
      </c>
      <c r="F119" s="216">
        <v>23105.263157894744</v>
      </c>
      <c r="G119" s="216">
        <v>14205.081669691459</v>
      </c>
      <c r="H119" s="216">
        <v>7327.5862068965571</v>
      </c>
    </row>
    <row r="120" spans="1:8">
      <c r="A120" s="139" t="s">
        <v>83</v>
      </c>
      <c r="B120" s="202">
        <v>784606.30464174459</v>
      </c>
      <c r="C120" s="77">
        <v>853239.6406430658</v>
      </c>
      <c r="D120" s="77">
        <v>824593.60851846868</v>
      </c>
      <c r="E120" s="203">
        <v>890099.75426338776</v>
      </c>
      <c r="F120" s="139">
        <v>889735.89308771957</v>
      </c>
      <c r="G120" s="139">
        <v>863135.61515366018</v>
      </c>
      <c r="H120" s="139">
        <v>852784.61755172419</v>
      </c>
    </row>
    <row r="121" spans="1:8">
      <c r="A121" s="125" t="s">
        <v>85</v>
      </c>
      <c r="B121" s="204">
        <v>-306345.54809968849</v>
      </c>
      <c r="C121" s="82">
        <v>-290813.69740664068</v>
      </c>
      <c r="D121" s="82">
        <v>-302995.64085432666</v>
      </c>
      <c r="E121" s="205">
        <v>-307106.01943934429</v>
      </c>
      <c r="F121" s="216">
        <v>-324070.59343859646</v>
      </c>
      <c r="G121" s="216">
        <v>-310980.33673381724</v>
      </c>
      <c r="H121" s="216">
        <v>-313386.61855172412</v>
      </c>
    </row>
    <row r="122" spans="1:8">
      <c r="A122" s="125" t="s">
        <v>87</v>
      </c>
      <c r="B122" s="204">
        <v>-291149.29056074767</v>
      </c>
      <c r="C122" s="82">
        <v>-275399.1938379865</v>
      </c>
      <c r="D122" s="82">
        <v>-286212.95717503631</v>
      </c>
      <c r="E122" s="205">
        <v>-290756.13099289627</v>
      </c>
      <c r="F122" s="216">
        <v>-309498.66361403512</v>
      </c>
      <c r="G122" s="216">
        <v>-293952.26655837864</v>
      </c>
      <c r="H122" s="216">
        <v>-295231.44613793108</v>
      </c>
    </row>
    <row r="123" spans="1:8">
      <c r="A123" s="227" t="s">
        <v>89</v>
      </c>
      <c r="B123" s="204">
        <v>-147968.84971962616</v>
      </c>
      <c r="C123" s="82">
        <v>-135877.94983733585</v>
      </c>
      <c r="D123" s="82">
        <v>-137630.54877090681</v>
      </c>
      <c r="E123" s="205">
        <v>-133948.31680546454</v>
      </c>
      <c r="F123" s="216">
        <v>-150494.73684210525</v>
      </c>
      <c r="G123" s="216">
        <v>-138658.81915789473</v>
      </c>
      <c r="H123" s="216">
        <v>-144924.13793103449</v>
      </c>
    </row>
    <row r="124" spans="1:8">
      <c r="A124" s="227" t="s">
        <v>91</v>
      </c>
      <c r="B124" s="204">
        <v>-143180.44084112148</v>
      </c>
      <c r="C124" s="82">
        <v>-139521.24400065068</v>
      </c>
      <c r="D124" s="82">
        <v>-148582.4084041295</v>
      </c>
      <c r="E124" s="205">
        <v>-156807.81418743174</v>
      </c>
      <c r="F124" s="216">
        <v>-159003.92677192984</v>
      </c>
      <c r="G124" s="216">
        <v>-155293.44740048394</v>
      </c>
      <c r="H124" s="216">
        <v>-150307.30820689656</v>
      </c>
    </row>
    <row r="125" spans="1:8">
      <c r="A125" s="125" t="s">
        <v>93</v>
      </c>
      <c r="B125" s="204">
        <v>-15196.257538940812</v>
      </c>
      <c r="C125" s="82">
        <v>-15414.503568654127</v>
      </c>
      <c r="D125" s="82">
        <v>-16782.683679290312</v>
      </c>
      <c r="E125" s="205">
        <v>-16349.888446448093</v>
      </c>
      <c r="F125" s="216">
        <v>-14571.929824561403</v>
      </c>
      <c r="G125" s="216">
        <v>-17028.070175438595</v>
      </c>
      <c r="H125" s="216">
        <v>-18155.172413793105</v>
      </c>
    </row>
    <row r="126" spans="1:8">
      <c r="A126" s="139" t="s">
        <v>95</v>
      </c>
      <c r="B126" s="202">
        <v>478260.75654205604</v>
      </c>
      <c r="C126" s="77">
        <v>562425.94323642505</v>
      </c>
      <c r="D126" s="77">
        <v>521597.96766414191</v>
      </c>
      <c r="E126" s="203">
        <v>582993.73482404347</v>
      </c>
      <c r="F126" s="139">
        <v>565665.29964912299</v>
      </c>
      <c r="G126" s="139">
        <v>552155.27841984294</v>
      </c>
      <c r="H126" s="139">
        <v>539397.99899999995</v>
      </c>
    </row>
    <row r="127" spans="1:8">
      <c r="A127" s="125" t="s">
        <v>97</v>
      </c>
      <c r="B127" s="204">
        <v>-271049.84392523364</v>
      </c>
      <c r="C127" s="82">
        <v>-295348.89417603228</v>
      </c>
      <c r="D127" s="82">
        <v>-277397.98166922608</v>
      </c>
      <c r="E127" s="205">
        <v>-234703.2800628416</v>
      </c>
      <c r="F127" s="216">
        <v>-193126.31578947377</v>
      </c>
      <c r="G127" s="216">
        <v>-234142.64972776768</v>
      </c>
      <c r="H127" s="216">
        <v>-220555.17241379331</v>
      </c>
    </row>
    <row r="128" spans="1:8">
      <c r="A128" s="125" t="s">
        <v>291</v>
      </c>
      <c r="B128" s="204">
        <v>-16666.666355140187</v>
      </c>
      <c r="C128" s="82">
        <v>-8997.8896258724726</v>
      </c>
      <c r="D128" s="82">
        <v>-12761.672445216847</v>
      </c>
      <c r="E128" s="205">
        <v>-30710.438840437157</v>
      </c>
      <c r="F128" s="216">
        <v>-9866.6666666666661</v>
      </c>
      <c r="G128" s="216">
        <v>-34912.643678160915</v>
      </c>
      <c r="H128" s="216">
        <v>5758.6206896551712</v>
      </c>
    </row>
    <row r="129" spans="1:8">
      <c r="A129" s="139" t="s">
        <v>103</v>
      </c>
      <c r="B129" s="202">
        <v>190544.24626168222</v>
      </c>
      <c r="C129" s="77">
        <v>258079.15943452038</v>
      </c>
      <c r="D129" s="77">
        <v>231438.31354969897</v>
      </c>
      <c r="E129" s="203">
        <v>317580.01592076465</v>
      </c>
      <c r="F129" s="139">
        <v>362672.31719298242</v>
      </c>
      <c r="G129" s="139">
        <v>283099.98501391429</v>
      </c>
      <c r="H129" s="139">
        <v>324601.44727586169</v>
      </c>
    </row>
    <row r="130" spans="1:8">
      <c r="A130" s="125" t="s">
        <v>105</v>
      </c>
      <c r="B130" s="204">
        <v>-70049.467850467277</v>
      </c>
      <c r="C130" s="82">
        <v>-104218.89214953272</v>
      </c>
      <c r="D130" s="82">
        <v>-56011.409606557383</v>
      </c>
      <c r="E130" s="205">
        <v>-57394.759560109283</v>
      </c>
      <c r="F130" s="216">
        <v>-130110.04322807016</v>
      </c>
      <c r="G130" s="216">
        <v>-75111.690840895346</v>
      </c>
      <c r="H130" s="216">
        <v>-117868.68731034482</v>
      </c>
    </row>
    <row r="131" spans="1:8">
      <c r="A131" s="139" t="s">
        <v>107</v>
      </c>
      <c r="B131" s="202">
        <v>120494.778411215</v>
      </c>
      <c r="C131" s="77">
        <v>153860.26728498764</v>
      </c>
      <c r="D131" s="77">
        <v>175426.90394314163</v>
      </c>
      <c r="E131" s="203">
        <v>260185.2563606553</v>
      </c>
      <c r="F131" s="139">
        <v>232562.27396491222</v>
      </c>
      <c r="G131" s="139">
        <v>207988.29417301895</v>
      </c>
      <c r="H131" s="139">
        <v>206732.75996551689</v>
      </c>
    </row>
    <row r="132" spans="1:8">
      <c r="A132" s="125" t="s">
        <v>109</v>
      </c>
      <c r="B132" s="204">
        <v>-3779.4613395638635</v>
      </c>
      <c r="C132" s="82">
        <v>-4762.9314768918339</v>
      </c>
      <c r="D132" s="82">
        <v>-6033.934560593485</v>
      </c>
      <c r="E132" s="205">
        <v>-9790.2196562841546</v>
      </c>
      <c r="F132" s="216">
        <v>-8892.4384210526314</v>
      </c>
      <c r="G132" s="216">
        <v>-7298.1548892921965</v>
      </c>
      <c r="H132" s="216">
        <v>-8124.8266206896533</v>
      </c>
    </row>
    <row r="133" spans="1:8">
      <c r="A133" s="206" t="s">
        <v>111</v>
      </c>
      <c r="B133" s="207">
        <v>116715.31707165112</v>
      </c>
      <c r="C133" s="208">
        <v>149097.33580809581</v>
      </c>
      <c r="D133" s="208">
        <v>169392.96938254815</v>
      </c>
      <c r="E133" s="209">
        <v>250395.03670437116</v>
      </c>
      <c r="F133" s="206">
        <v>223669.83554385958</v>
      </c>
      <c r="G133" s="206">
        <v>200690.13928372675</v>
      </c>
      <c r="H133" s="206">
        <v>198607.93334482721</v>
      </c>
    </row>
    <row r="134" spans="1:8">
      <c r="A134" s="215"/>
      <c r="B134" s="77"/>
      <c r="C134" s="77"/>
      <c r="D134" s="77"/>
      <c r="E134" s="77"/>
      <c r="F134" s="139"/>
      <c r="G134" s="139"/>
      <c r="H134" s="139"/>
    </row>
    <row r="135" spans="1:8">
      <c r="A135" s="139"/>
      <c r="B135" s="77"/>
      <c r="C135" s="77"/>
      <c r="D135" s="77"/>
      <c r="E135" s="77"/>
      <c r="F135" s="139"/>
      <c r="G135" s="139"/>
      <c r="H135" s="139"/>
    </row>
    <row r="136" spans="1:8" ht="18">
      <c r="A136" s="65" t="s">
        <v>181</v>
      </c>
      <c r="B136" s="67"/>
      <c r="C136" s="67"/>
      <c r="D136" s="67"/>
      <c r="E136" s="67"/>
      <c r="F136" s="67"/>
      <c r="G136" s="210"/>
      <c r="H136" s="210"/>
    </row>
    <row r="137" spans="1:8">
      <c r="A137" s="68" t="s">
        <v>581</v>
      </c>
      <c r="B137" s="72"/>
      <c r="C137" s="72"/>
      <c r="D137" s="72"/>
      <c r="E137" s="72"/>
      <c r="F137" s="72"/>
      <c r="G137" s="72"/>
      <c r="H137" s="72"/>
    </row>
    <row r="138" spans="1:8" ht="15.75">
      <c r="A138" s="72"/>
      <c r="B138" s="59">
        <v>42825</v>
      </c>
      <c r="C138" s="59">
        <v>42916</v>
      </c>
      <c r="D138" s="59">
        <v>43008</v>
      </c>
      <c r="E138" s="59">
        <v>43100</v>
      </c>
      <c r="F138" s="59">
        <v>43190</v>
      </c>
      <c r="G138" s="59">
        <v>43281</v>
      </c>
      <c r="H138" s="59">
        <v>43373</v>
      </c>
    </row>
    <row r="139" spans="1:8" s="86" customFormat="1">
      <c r="A139" s="125" t="s">
        <v>120</v>
      </c>
      <c r="B139" s="204">
        <v>2846649.230769231</v>
      </c>
      <c r="C139" s="82">
        <v>3794996.5277777789</v>
      </c>
      <c r="D139" s="82">
        <v>3349711.805555555</v>
      </c>
      <c r="E139" s="205">
        <v>4753329.749103942</v>
      </c>
      <c r="F139" s="228">
        <v>4164643.8356164396</v>
      </c>
      <c r="G139" s="82">
        <v>4320298.9690721659</v>
      </c>
      <c r="H139" s="82">
        <v>2993463.667820069</v>
      </c>
    </row>
    <row r="140" spans="1:8" s="86" customFormat="1">
      <c r="A140" s="125" t="s">
        <v>192</v>
      </c>
      <c r="B140" s="204">
        <v>8208215.3846153859</v>
      </c>
      <c r="C140" s="82">
        <v>7817131.944444445</v>
      </c>
      <c r="D140" s="82">
        <v>6753486.1111111119</v>
      </c>
      <c r="E140" s="205">
        <v>8784082.4372759834</v>
      </c>
      <c r="F140" s="228">
        <v>8012013.6986301364</v>
      </c>
      <c r="G140" s="82">
        <v>8276924.3986254279</v>
      </c>
      <c r="H140" s="82">
        <v>9946190.3114186861</v>
      </c>
    </row>
    <row r="141" spans="1:8" s="86" customFormat="1">
      <c r="A141" s="125" t="s">
        <v>705</v>
      </c>
      <c r="B141" s="204">
        <v>42310067.692307673</v>
      </c>
      <c r="C141" s="82">
        <v>41987541.666666672</v>
      </c>
      <c r="D141" s="82">
        <v>42644090.277777784</v>
      </c>
      <c r="E141" s="205">
        <v>43364422.939068124</v>
      </c>
      <c r="F141" s="228">
        <v>43948493.150684945</v>
      </c>
      <c r="G141" s="82">
        <v>44796975.945017174</v>
      </c>
      <c r="H141" s="82">
        <v>44749650.519031152</v>
      </c>
    </row>
    <row r="142" spans="1:8" s="86" customFormat="1">
      <c r="A142" s="125" t="s">
        <v>195</v>
      </c>
      <c r="B142" s="204">
        <v>38695467.692307688</v>
      </c>
      <c r="C142" s="82">
        <v>39867159.722222231</v>
      </c>
      <c r="D142" s="82">
        <v>40702746.527777791</v>
      </c>
      <c r="E142" s="205">
        <v>42585032.258064531</v>
      </c>
      <c r="F142" s="228">
        <v>42278089.041095898</v>
      </c>
      <c r="G142" s="82">
        <v>43101993.127147757</v>
      </c>
      <c r="H142" s="82">
        <v>43066048.442906581</v>
      </c>
    </row>
    <row r="143" spans="1:8" s="86" customFormat="1">
      <c r="A143" s="125" t="s">
        <v>140</v>
      </c>
      <c r="B143" s="204">
        <v>320858.46153846162</v>
      </c>
      <c r="C143" s="82">
        <v>322083.33333333331</v>
      </c>
      <c r="D143" s="82">
        <v>318743.05555555562</v>
      </c>
      <c r="E143" s="205">
        <v>319856.6308243727</v>
      </c>
      <c r="F143" s="228">
        <v>313804.79452054785</v>
      </c>
      <c r="G143" s="82">
        <v>310670.10309278354</v>
      </c>
      <c r="H143" s="82">
        <v>311100.34602076135</v>
      </c>
    </row>
    <row r="144" spans="1:8" s="86" customFormat="1">
      <c r="A144" s="125" t="s">
        <v>144</v>
      </c>
      <c r="B144" s="204">
        <v>859007.67138465203</v>
      </c>
      <c r="C144" s="82">
        <v>993460.44454860839</v>
      </c>
      <c r="D144" s="82">
        <v>1088350.6944444445</v>
      </c>
      <c r="E144" s="205">
        <v>1213403.3992473173</v>
      </c>
      <c r="F144" s="228">
        <v>1418164.383561644</v>
      </c>
      <c r="G144" s="82">
        <v>1416639.1752577319</v>
      </c>
      <c r="H144" s="82">
        <v>1515391.0034602077</v>
      </c>
    </row>
    <row r="145" spans="1:9">
      <c r="A145" s="206" t="s">
        <v>201</v>
      </c>
      <c r="B145" s="207">
        <v>54544798.440615408</v>
      </c>
      <c r="C145" s="208">
        <v>54915213.916770838</v>
      </c>
      <c r="D145" s="208">
        <v>54154381.944444448</v>
      </c>
      <c r="E145" s="209">
        <v>58435095.155519739</v>
      </c>
      <c r="F145" s="207">
        <v>57857119.863013707</v>
      </c>
      <c r="G145" s="208">
        <v>59121508.59106528</v>
      </c>
      <c r="H145" s="208">
        <v>59515795.84775088</v>
      </c>
    </row>
    <row r="146" spans="1:9">
      <c r="A146" s="125" t="s">
        <v>207</v>
      </c>
      <c r="B146" s="204">
        <v>1031387.692307692</v>
      </c>
      <c r="C146" s="82">
        <v>1091642.361111111</v>
      </c>
      <c r="D146" s="82">
        <v>816003.47222222225</v>
      </c>
      <c r="E146" s="205">
        <v>1415731.182795699</v>
      </c>
      <c r="F146" s="228">
        <v>1305958.9041095893</v>
      </c>
      <c r="G146" s="82">
        <v>1167189.0034364262</v>
      </c>
      <c r="H146" s="82">
        <v>1145269.8961937716</v>
      </c>
    </row>
    <row r="147" spans="1:9" s="86" customFormat="1">
      <c r="A147" s="125" t="s">
        <v>203</v>
      </c>
      <c r="B147" s="204">
        <v>1507569.2307692308</v>
      </c>
      <c r="C147" s="82">
        <v>2400937.5000000005</v>
      </c>
      <c r="D147" s="82">
        <v>2473586.8055555555</v>
      </c>
      <c r="E147" s="205">
        <v>3463100.3584229397</v>
      </c>
      <c r="F147" s="228">
        <v>1561924.657534247</v>
      </c>
      <c r="G147" s="82">
        <v>1165298.9690721647</v>
      </c>
      <c r="H147" s="82">
        <v>1147816.6089965398</v>
      </c>
    </row>
    <row r="148" spans="1:9" s="86" customFormat="1">
      <c r="A148" s="125" t="s">
        <v>205</v>
      </c>
      <c r="B148" s="204">
        <v>42152876.923076928</v>
      </c>
      <c r="C148" s="82">
        <v>41496802.083333336</v>
      </c>
      <c r="D148" s="82">
        <v>40818479.166666627</v>
      </c>
      <c r="E148" s="205">
        <v>43362179.211469539</v>
      </c>
      <c r="F148" s="228">
        <v>44696010.273972608</v>
      </c>
      <c r="G148" s="82">
        <v>46280563.573883168</v>
      </c>
      <c r="H148" s="82">
        <v>46455851.211072676</v>
      </c>
    </row>
    <row r="149" spans="1:9" s="86" customFormat="1">
      <c r="A149" s="125" t="s">
        <v>209</v>
      </c>
      <c r="B149" s="204">
        <v>2436932.307692308</v>
      </c>
      <c r="C149" s="82">
        <v>2496913.194444444</v>
      </c>
      <c r="D149" s="82">
        <v>2259871.527777778</v>
      </c>
      <c r="E149" s="205">
        <v>2238164.874551971</v>
      </c>
      <c r="F149" s="228">
        <v>2096441.7808219176</v>
      </c>
      <c r="G149" s="82">
        <v>2185824.7422680412</v>
      </c>
      <c r="H149" s="82">
        <v>2109470.588235294</v>
      </c>
    </row>
    <row r="150" spans="1:9" s="86" customFormat="1">
      <c r="A150" s="125" t="s">
        <v>166</v>
      </c>
      <c r="B150" s="204">
        <v>4160141.1483077072</v>
      </c>
      <c r="C150" s="82">
        <v>3831301.069548618</v>
      </c>
      <c r="D150" s="82">
        <v>4401908.8809028082</v>
      </c>
      <c r="E150" s="205">
        <v>4497325.0577419512</v>
      </c>
      <c r="F150" s="228">
        <v>4830959.5376712345</v>
      </c>
      <c r="G150" s="82">
        <v>4786097.1821305715</v>
      </c>
      <c r="H150" s="82">
        <v>5059775.8062283751</v>
      </c>
    </row>
    <row r="151" spans="1:9" s="86" customFormat="1">
      <c r="A151" s="125" t="s">
        <v>214</v>
      </c>
      <c r="B151" s="204">
        <v>3255891.1384615381</v>
      </c>
      <c r="C151" s="82">
        <v>3597617.708333333</v>
      </c>
      <c r="D151" s="82">
        <v>3384532.0913194451</v>
      </c>
      <c r="E151" s="205">
        <v>3458594.4705376332</v>
      </c>
      <c r="F151" s="228">
        <v>3365824.7089041104</v>
      </c>
      <c r="G151" s="82">
        <v>3536535.1202749126</v>
      </c>
      <c r="H151" s="82">
        <v>3597611.7370242211</v>
      </c>
    </row>
    <row r="152" spans="1:9">
      <c r="A152" s="215"/>
      <c r="B152" s="69"/>
      <c r="C152" s="82"/>
      <c r="D152" s="82"/>
      <c r="E152" s="82"/>
      <c r="F152" s="82"/>
      <c r="G152" s="82"/>
      <c r="H152" s="82"/>
    </row>
    <row r="153" spans="1:9">
      <c r="A153" s="125"/>
      <c r="B153" s="69"/>
      <c r="C153" s="82"/>
      <c r="D153" s="82"/>
      <c r="E153" s="82"/>
      <c r="F153" s="82"/>
      <c r="G153" s="82"/>
      <c r="H153" s="82"/>
    </row>
    <row r="154" spans="1:9" ht="18">
      <c r="A154" s="65" t="s">
        <v>216</v>
      </c>
      <c r="B154" s="67"/>
      <c r="C154" s="67"/>
      <c r="D154" s="67"/>
      <c r="E154" s="67"/>
      <c r="F154" s="67"/>
      <c r="G154" s="210"/>
      <c r="H154" s="210"/>
    </row>
    <row r="155" spans="1:9">
      <c r="A155" s="68" t="s">
        <v>581</v>
      </c>
      <c r="B155" s="72"/>
      <c r="C155" s="72"/>
      <c r="D155" s="72"/>
      <c r="E155" s="72"/>
      <c r="F155" s="72"/>
      <c r="G155" s="72"/>
      <c r="H155" s="72"/>
    </row>
    <row r="156" spans="1:9" ht="15.75">
      <c r="A156" s="72"/>
      <c r="B156" s="59">
        <v>42825</v>
      </c>
      <c r="C156" s="59">
        <v>42916</v>
      </c>
      <c r="D156" s="59">
        <v>43008</v>
      </c>
      <c r="E156" s="59">
        <v>43100</v>
      </c>
      <c r="F156" s="59">
        <v>43190</v>
      </c>
      <c r="G156" s="59">
        <v>43281</v>
      </c>
      <c r="H156" s="59">
        <v>43373</v>
      </c>
    </row>
    <row r="157" spans="1:9">
      <c r="A157" s="125" t="s">
        <v>218</v>
      </c>
      <c r="B157" s="214">
        <v>40379981.538461544</v>
      </c>
      <c r="C157" s="69">
        <v>41759982.638888888</v>
      </c>
      <c r="D157" s="69">
        <v>42777097.222222224</v>
      </c>
      <c r="E157" s="69">
        <v>44713207.88530466</v>
      </c>
      <c r="F157" s="214">
        <v>44533767.697328769</v>
      </c>
      <c r="G157" s="69">
        <v>45682092.783505149</v>
      </c>
      <c r="H157" s="69">
        <v>45806723.183391012</v>
      </c>
      <c r="I157" s="313"/>
    </row>
    <row r="158" spans="1:9">
      <c r="A158" s="125" t="s">
        <v>549</v>
      </c>
      <c r="B158" s="214">
        <v>42797809.008472398</v>
      </c>
      <c r="C158" s="69">
        <v>42088279.582150519</v>
      </c>
      <c r="D158" s="69">
        <v>41628278.278252952</v>
      </c>
      <c r="E158" s="69">
        <v>43829400.044014342</v>
      </c>
      <c r="F158" s="214">
        <v>44655739.601780824</v>
      </c>
      <c r="G158" s="69">
        <v>45696715.349415801</v>
      </c>
      <c r="H158" s="69">
        <v>46530852.943875432</v>
      </c>
    </row>
    <row r="159" spans="1:9">
      <c r="A159" s="125" t="s">
        <v>226</v>
      </c>
      <c r="B159" s="214">
        <v>2900685.8331692312</v>
      </c>
      <c r="C159" s="69">
        <v>3408960.0835763887</v>
      </c>
      <c r="D159" s="69">
        <v>3485022.6339930557</v>
      </c>
      <c r="E159" s="69">
        <v>4008532.7992473124</v>
      </c>
      <c r="F159" s="214">
        <v>4306380.715239726</v>
      </c>
      <c r="G159" s="69">
        <v>4374044.7849484533</v>
      </c>
      <c r="H159" s="82">
        <v>4862385.9283737028</v>
      </c>
    </row>
    <row r="160" spans="1:9">
      <c r="A160" s="125" t="s">
        <v>377</v>
      </c>
      <c r="B160" s="214">
        <v>0</v>
      </c>
      <c r="C160" s="82">
        <v>0</v>
      </c>
      <c r="D160" s="82">
        <v>0</v>
      </c>
      <c r="E160" s="82">
        <v>0</v>
      </c>
      <c r="F160" s="213">
        <v>0</v>
      </c>
      <c r="G160" s="82">
        <v>0</v>
      </c>
      <c r="H160" s="82">
        <v>0</v>
      </c>
    </row>
    <row r="161" spans="1:8">
      <c r="A161" s="125" t="s">
        <v>540</v>
      </c>
      <c r="B161" s="214">
        <v>0</v>
      </c>
      <c r="C161" s="82">
        <v>0</v>
      </c>
      <c r="D161" s="82">
        <v>0</v>
      </c>
      <c r="E161" s="82">
        <v>0</v>
      </c>
      <c r="F161" s="213">
        <v>0</v>
      </c>
      <c r="G161" s="82">
        <v>0</v>
      </c>
      <c r="H161" s="82">
        <v>0</v>
      </c>
    </row>
    <row r="162" spans="1:8">
      <c r="A162" s="215" t="s">
        <v>538</v>
      </c>
      <c r="B162" s="212"/>
      <c r="C162" s="216"/>
      <c r="D162" s="216"/>
      <c r="E162" s="216"/>
      <c r="F162" s="216"/>
      <c r="G162" s="72"/>
      <c r="H162" s="72"/>
    </row>
    <row r="163" spans="1:8">
      <c r="A163" s="215" t="s">
        <v>500</v>
      </c>
      <c r="B163" s="212"/>
      <c r="C163" s="216"/>
      <c r="D163" s="216"/>
      <c r="E163" s="216"/>
      <c r="F163" s="216"/>
      <c r="G163" s="72"/>
      <c r="H163" s="72"/>
    </row>
    <row r="164" spans="1:8">
      <c r="A164" s="72"/>
      <c r="B164" s="72"/>
      <c r="C164" s="72"/>
      <c r="D164" s="72"/>
      <c r="E164" s="72"/>
      <c r="F164" s="72"/>
      <c r="G164" s="72"/>
      <c r="H164" s="72"/>
    </row>
    <row r="165" spans="1:8">
      <c r="A165" s="72"/>
      <c r="B165" s="72"/>
      <c r="C165" s="72"/>
      <c r="D165" s="72"/>
      <c r="E165" s="72"/>
      <c r="F165" s="72"/>
      <c r="G165" s="72"/>
      <c r="H165" s="72"/>
    </row>
    <row r="166" spans="1:8">
      <c r="A166" s="72"/>
      <c r="B166" s="72"/>
      <c r="C166" s="72"/>
      <c r="D166" s="72"/>
      <c r="E166" s="72"/>
      <c r="F166" s="72"/>
      <c r="G166" s="72"/>
      <c r="H166" s="72"/>
    </row>
    <row r="167" spans="1:8">
      <c r="A167" s="72"/>
      <c r="B167" s="72"/>
      <c r="C167" s="72"/>
      <c r="D167" s="72"/>
      <c r="E167" s="72"/>
      <c r="F167" s="72"/>
      <c r="G167" s="72"/>
      <c r="H167" s="72"/>
    </row>
    <row r="168" spans="1:8">
      <c r="A168" s="72"/>
      <c r="B168" s="72"/>
      <c r="C168" s="72"/>
      <c r="D168" s="72"/>
      <c r="E168" s="72"/>
      <c r="F168" s="72"/>
      <c r="G168" s="72"/>
      <c r="H168" s="72"/>
    </row>
    <row r="169" spans="1:8">
      <c r="A169" s="72"/>
      <c r="B169" s="72"/>
      <c r="C169" s="72"/>
      <c r="D169" s="72"/>
      <c r="E169" s="72"/>
      <c r="F169" s="72"/>
      <c r="G169" s="72"/>
      <c r="H169" s="72"/>
    </row>
    <row r="170" spans="1:8">
      <c r="A170" s="72"/>
      <c r="B170" s="72"/>
      <c r="C170" s="72"/>
      <c r="D170" s="72"/>
      <c r="E170" s="72"/>
      <c r="F170" s="72"/>
      <c r="G170" s="72"/>
      <c r="H170" s="72"/>
    </row>
    <row r="171" spans="1:8">
      <c r="A171" s="72"/>
      <c r="B171" s="72"/>
      <c r="C171" s="72"/>
      <c r="D171" s="72"/>
      <c r="E171" s="72"/>
      <c r="F171" s="72"/>
      <c r="G171" s="72"/>
      <c r="H171" s="72"/>
    </row>
    <row r="172" spans="1:8">
      <c r="A172" s="72"/>
      <c r="B172" s="72"/>
      <c r="C172" s="72"/>
      <c r="D172" s="72"/>
      <c r="E172" s="72"/>
      <c r="F172" s="72"/>
      <c r="G172" s="72"/>
      <c r="H172" s="72"/>
    </row>
    <row r="173" spans="1:8">
      <c r="A173" s="72"/>
      <c r="B173" s="72"/>
      <c r="C173" s="72"/>
      <c r="D173" s="72"/>
      <c r="E173" s="72"/>
      <c r="F173" s="72"/>
      <c r="G173" s="72"/>
      <c r="H173" s="72"/>
    </row>
    <row r="174" spans="1:8">
      <c r="A174" s="72"/>
      <c r="B174" s="72"/>
      <c r="C174" s="72"/>
      <c r="D174" s="72"/>
      <c r="E174" s="72"/>
      <c r="F174" s="72"/>
      <c r="G174" s="72"/>
      <c r="H174" s="72"/>
    </row>
    <row r="175" spans="1:8">
      <c r="A175" s="72"/>
      <c r="B175" s="72"/>
      <c r="C175" s="72"/>
      <c r="D175" s="72"/>
      <c r="E175" s="72"/>
      <c r="F175" s="72"/>
      <c r="G175" s="72"/>
      <c r="H175" s="72"/>
    </row>
    <row r="176" spans="1:8">
      <c r="A176" s="72"/>
      <c r="B176" s="72"/>
      <c r="C176" s="72"/>
      <c r="D176" s="72"/>
      <c r="E176" s="72"/>
      <c r="F176" s="72"/>
      <c r="G176" s="72"/>
      <c r="H176" s="72"/>
    </row>
    <row r="177" spans="1:8">
      <c r="A177" s="72"/>
      <c r="B177" s="72"/>
      <c r="C177" s="72"/>
      <c r="D177" s="72"/>
      <c r="E177" s="72"/>
      <c r="F177" s="72"/>
      <c r="G177" s="72"/>
      <c r="H177" s="72"/>
    </row>
  </sheetData>
  <mergeCells count="6">
    <mergeCell ref="B6:E6"/>
    <mergeCell ref="F6:H6"/>
    <mergeCell ref="B60:E60"/>
    <mergeCell ref="F60:H60"/>
    <mergeCell ref="B114:E114"/>
    <mergeCell ref="F114:H11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showGridLines="0" zoomScale="85" zoomScaleNormal="85" workbookViewId="0"/>
  </sheetViews>
  <sheetFormatPr baseColWidth="10" defaultRowHeight="15"/>
  <cols>
    <col min="1" max="1" width="66.7109375" style="217" customWidth="1"/>
    <col min="2" max="2" width="10.7109375" customWidth="1"/>
    <col min="3" max="5" width="10.7109375" style="218" customWidth="1"/>
    <col min="6" max="8" width="10.7109375" customWidth="1"/>
    <col min="9" max="9" width="11.42578125" style="86"/>
    <col min="256" max="256" width="66.7109375" customWidth="1"/>
    <col min="257" max="264" width="10.7109375" customWidth="1"/>
    <col min="512" max="512" width="66.7109375" customWidth="1"/>
    <col min="513" max="520" width="10.7109375" customWidth="1"/>
    <col min="768" max="768" width="66.7109375" customWidth="1"/>
    <col min="769" max="776" width="10.7109375" customWidth="1"/>
    <col min="1024" max="1024" width="66.7109375" customWidth="1"/>
    <col min="1025" max="1032" width="10.7109375" customWidth="1"/>
    <col min="1280" max="1280" width="66.7109375" customWidth="1"/>
    <col min="1281" max="1288" width="10.7109375" customWidth="1"/>
    <col min="1536" max="1536" width="66.7109375" customWidth="1"/>
    <col min="1537" max="1544" width="10.7109375" customWidth="1"/>
    <col min="1792" max="1792" width="66.7109375" customWidth="1"/>
    <col min="1793" max="1800" width="10.7109375" customWidth="1"/>
    <col min="2048" max="2048" width="66.7109375" customWidth="1"/>
    <col min="2049" max="2056" width="10.7109375" customWidth="1"/>
    <col min="2304" max="2304" width="66.7109375" customWidth="1"/>
    <col min="2305" max="2312" width="10.7109375" customWidth="1"/>
    <col min="2560" max="2560" width="66.7109375" customWidth="1"/>
    <col min="2561" max="2568" width="10.7109375" customWidth="1"/>
    <col min="2816" max="2816" width="66.7109375" customWidth="1"/>
    <col min="2817" max="2824" width="10.7109375" customWidth="1"/>
    <col min="3072" max="3072" width="66.7109375" customWidth="1"/>
    <col min="3073" max="3080" width="10.7109375" customWidth="1"/>
    <col min="3328" max="3328" width="66.7109375" customWidth="1"/>
    <col min="3329" max="3336" width="10.7109375" customWidth="1"/>
    <col min="3584" max="3584" width="66.7109375" customWidth="1"/>
    <col min="3585" max="3592" width="10.7109375" customWidth="1"/>
    <col min="3840" max="3840" width="66.7109375" customWidth="1"/>
    <col min="3841" max="3848" width="10.7109375" customWidth="1"/>
    <col min="4096" max="4096" width="66.7109375" customWidth="1"/>
    <col min="4097" max="4104" width="10.7109375" customWidth="1"/>
    <col min="4352" max="4352" width="66.7109375" customWidth="1"/>
    <col min="4353" max="4360" width="10.7109375" customWidth="1"/>
    <col min="4608" max="4608" width="66.7109375" customWidth="1"/>
    <col min="4609" max="4616" width="10.7109375" customWidth="1"/>
    <col min="4864" max="4864" width="66.7109375" customWidth="1"/>
    <col min="4865" max="4872" width="10.7109375" customWidth="1"/>
    <col min="5120" max="5120" width="66.7109375" customWidth="1"/>
    <col min="5121" max="5128" width="10.7109375" customWidth="1"/>
    <col min="5376" max="5376" width="66.7109375" customWidth="1"/>
    <col min="5377" max="5384" width="10.7109375" customWidth="1"/>
    <col min="5632" max="5632" width="66.7109375" customWidth="1"/>
    <col min="5633" max="5640" width="10.7109375" customWidth="1"/>
    <col min="5888" max="5888" width="66.7109375" customWidth="1"/>
    <col min="5889" max="5896" width="10.7109375" customWidth="1"/>
    <col min="6144" max="6144" width="66.7109375" customWidth="1"/>
    <col min="6145" max="6152" width="10.7109375" customWidth="1"/>
    <col min="6400" max="6400" width="66.7109375" customWidth="1"/>
    <col min="6401" max="6408" width="10.7109375" customWidth="1"/>
    <col min="6656" max="6656" width="66.7109375" customWidth="1"/>
    <col min="6657" max="6664" width="10.7109375" customWidth="1"/>
    <col min="6912" max="6912" width="66.7109375" customWidth="1"/>
    <col min="6913" max="6920" width="10.7109375" customWidth="1"/>
    <col min="7168" max="7168" width="66.7109375" customWidth="1"/>
    <col min="7169" max="7176" width="10.7109375" customWidth="1"/>
    <col min="7424" max="7424" width="66.7109375" customWidth="1"/>
    <col min="7425" max="7432" width="10.7109375" customWidth="1"/>
    <col min="7680" max="7680" width="66.7109375" customWidth="1"/>
    <col min="7681" max="7688" width="10.7109375" customWidth="1"/>
    <col min="7936" max="7936" width="66.7109375" customWidth="1"/>
    <col min="7937" max="7944" width="10.7109375" customWidth="1"/>
    <col min="8192" max="8192" width="66.7109375" customWidth="1"/>
    <col min="8193" max="8200" width="10.7109375" customWidth="1"/>
    <col min="8448" max="8448" width="66.7109375" customWidth="1"/>
    <col min="8449" max="8456" width="10.7109375" customWidth="1"/>
    <col min="8704" max="8704" width="66.7109375" customWidth="1"/>
    <col min="8705" max="8712" width="10.7109375" customWidth="1"/>
    <col min="8960" max="8960" width="66.7109375" customWidth="1"/>
    <col min="8961" max="8968" width="10.7109375" customWidth="1"/>
    <col min="9216" max="9216" width="66.7109375" customWidth="1"/>
    <col min="9217" max="9224" width="10.7109375" customWidth="1"/>
    <col min="9472" max="9472" width="66.7109375" customWidth="1"/>
    <col min="9473" max="9480" width="10.7109375" customWidth="1"/>
    <col min="9728" max="9728" width="66.7109375" customWidth="1"/>
    <col min="9729" max="9736" width="10.7109375" customWidth="1"/>
    <col min="9984" max="9984" width="66.7109375" customWidth="1"/>
    <col min="9985" max="9992" width="10.7109375" customWidth="1"/>
    <col min="10240" max="10240" width="66.7109375" customWidth="1"/>
    <col min="10241" max="10248" width="10.7109375" customWidth="1"/>
    <col min="10496" max="10496" width="66.7109375" customWidth="1"/>
    <col min="10497" max="10504" width="10.7109375" customWidth="1"/>
    <col min="10752" max="10752" width="66.7109375" customWidth="1"/>
    <col min="10753" max="10760" width="10.7109375" customWidth="1"/>
    <col min="11008" max="11008" width="66.7109375" customWidth="1"/>
    <col min="11009" max="11016" width="10.7109375" customWidth="1"/>
    <col min="11264" max="11264" width="66.7109375" customWidth="1"/>
    <col min="11265" max="11272" width="10.7109375" customWidth="1"/>
    <col min="11520" max="11520" width="66.7109375" customWidth="1"/>
    <col min="11521" max="11528" width="10.7109375" customWidth="1"/>
    <col min="11776" max="11776" width="66.7109375" customWidth="1"/>
    <col min="11777" max="11784" width="10.7109375" customWidth="1"/>
    <col min="12032" max="12032" width="66.7109375" customWidth="1"/>
    <col min="12033" max="12040" width="10.7109375" customWidth="1"/>
    <col min="12288" max="12288" width="66.7109375" customWidth="1"/>
    <col min="12289" max="12296" width="10.7109375" customWidth="1"/>
    <col min="12544" max="12544" width="66.7109375" customWidth="1"/>
    <col min="12545" max="12552" width="10.7109375" customWidth="1"/>
    <col min="12800" max="12800" width="66.7109375" customWidth="1"/>
    <col min="12801" max="12808" width="10.7109375" customWidth="1"/>
    <col min="13056" max="13056" width="66.7109375" customWidth="1"/>
    <col min="13057" max="13064" width="10.7109375" customWidth="1"/>
    <col min="13312" max="13312" width="66.7109375" customWidth="1"/>
    <col min="13313" max="13320" width="10.7109375" customWidth="1"/>
    <col min="13568" max="13568" width="66.7109375" customWidth="1"/>
    <col min="13569" max="13576" width="10.7109375" customWidth="1"/>
    <col min="13824" max="13824" width="66.7109375" customWidth="1"/>
    <col min="13825" max="13832" width="10.7109375" customWidth="1"/>
    <col min="14080" max="14080" width="66.7109375" customWidth="1"/>
    <col min="14081" max="14088" width="10.7109375" customWidth="1"/>
    <col min="14336" max="14336" width="66.7109375" customWidth="1"/>
    <col min="14337" max="14344" width="10.7109375" customWidth="1"/>
    <col min="14592" max="14592" width="66.7109375" customWidth="1"/>
    <col min="14593" max="14600" width="10.7109375" customWidth="1"/>
    <col min="14848" max="14848" width="66.7109375" customWidth="1"/>
    <col min="14849" max="14856" width="10.7109375" customWidth="1"/>
    <col min="15104" max="15104" width="66.7109375" customWidth="1"/>
    <col min="15105" max="15112" width="10.7109375" customWidth="1"/>
    <col min="15360" max="15360" width="66.7109375" customWidth="1"/>
    <col min="15361" max="15368" width="10.7109375" customWidth="1"/>
    <col min="15616" max="15616" width="66.7109375" customWidth="1"/>
    <col min="15617" max="15624" width="10.7109375" customWidth="1"/>
    <col min="15872" max="15872" width="66.7109375" customWidth="1"/>
    <col min="15873" max="15880" width="10.7109375" customWidth="1"/>
    <col min="16128" max="16128" width="66.7109375" customWidth="1"/>
    <col min="16129" max="16136" width="10.7109375" customWidth="1"/>
  </cols>
  <sheetData>
    <row r="1" spans="1:8" ht="18" customHeight="1">
      <c r="A1" s="197" t="s">
        <v>35</v>
      </c>
      <c r="B1" s="72"/>
      <c r="C1" s="72"/>
      <c r="D1" s="72"/>
      <c r="E1" s="72"/>
      <c r="F1" s="72"/>
      <c r="G1" s="72"/>
      <c r="H1" s="72"/>
    </row>
    <row r="2" spans="1:8" ht="18" customHeight="1">
      <c r="A2" s="198"/>
      <c r="B2" s="72"/>
      <c r="C2" s="72"/>
      <c r="D2" s="72"/>
      <c r="E2" s="72"/>
      <c r="F2" s="72"/>
      <c r="G2" s="72"/>
      <c r="H2" s="72"/>
    </row>
    <row r="3" spans="1:8" ht="18" customHeight="1">
      <c r="A3" s="65" t="s">
        <v>179</v>
      </c>
      <c r="B3" s="67"/>
      <c r="C3" s="199"/>
      <c r="D3" s="199"/>
      <c r="E3" s="199"/>
      <c r="F3" s="67"/>
      <c r="G3" s="67"/>
      <c r="H3" s="67"/>
    </row>
    <row r="4" spans="1:8">
      <c r="A4" s="68" t="s">
        <v>55</v>
      </c>
      <c r="B4" s="72"/>
      <c r="C4" s="200"/>
      <c r="D4" s="200"/>
      <c r="E4" s="200"/>
      <c r="F4" s="72"/>
      <c r="G4" s="72"/>
      <c r="H4" s="72"/>
    </row>
    <row r="5" spans="1:8">
      <c r="A5" s="201"/>
      <c r="B5" s="72"/>
      <c r="C5" s="200"/>
      <c r="D5" s="200"/>
      <c r="E5" s="200"/>
      <c r="F5" s="72"/>
      <c r="G5" s="72"/>
      <c r="H5" s="72"/>
    </row>
    <row r="6" spans="1:8" ht="15.75">
      <c r="A6" s="73"/>
      <c r="B6" s="315">
        <v>2017</v>
      </c>
      <c r="C6" s="316"/>
      <c r="D6" s="316"/>
      <c r="E6" s="316"/>
      <c r="F6" s="315">
        <v>2018</v>
      </c>
      <c r="G6" s="316"/>
      <c r="H6" s="316"/>
    </row>
    <row r="7" spans="1:8" ht="15.75">
      <c r="A7" s="73"/>
      <c r="B7" s="93" t="s">
        <v>751</v>
      </c>
      <c r="C7" s="93" t="s">
        <v>65</v>
      </c>
      <c r="D7" s="93" t="s">
        <v>752</v>
      </c>
      <c r="E7" s="93" t="s">
        <v>69</v>
      </c>
      <c r="F7" s="93" t="s">
        <v>751</v>
      </c>
      <c r="G7" s="93" t="s">
        <v>65</v>
      </c>
      <c r="H7" s="93" t="s">
        <v>752</v>
      </c>
    </row>
    <row r="8" spans="1:8">
      <c r="A8" s="139" t="s">
        <v>71</v>
      </c>
      <c r="B8" s="202">
        <v>200.27100022999997</v>
      </c>
      <c r="C8" s="77">
        <v>193.90399990999998</v>
      </c>
      <c r="D8" s="77">
        <v>186.39999990999999</v>
      </c>
      <c r="E8" s="203">
        <v>187.83099970999996</v>
      </c>
      <c r="F8" s="77">
        <v>180.46999999999997</v>
      </c>
      <c r="G8" s="77">
        <v>195.46699999999998</v>
      </c>
      <c r="H8" s="77">
        <v>209.88000000000002</v>
      </c>
    </row>
    <row r="9" spans="1:8">
      <c r="A9" s="125" t="s">
        <v>73</v>
      </c>
      <c r="B9" s="204">
        <v>56.323737459999997</v>
      </c>
      <c r="C9" s="82">
        <v>55.086041479999999</v>
      </c>
      <c r="D9" s="82">
        <v>56.373263979999997</v>
      </c>
      <c r="E9" s="205">
        <v>57.512468380000001</v>
      </c>
      <c r="F9" s="82">
        <v>48.609555999999998</v>
      </c>
      <c r="G9" s="82">
        <v>56.107529080000006</v>
      </c>
      <c r="H9" s="82">
        <v>53.329565190000011</v>
      </c>
    </row>
    <row r="10" spans="1:8">
      <c r="A10" s="125" t="s">
        <v>75</v>
      </c>
      <c r="B10" s="204">
        <v>38.427204770000003</v>
      </c>
      <c r="C10" s="82">
        <v>40.407615140000004</v>
      </c>
      <c r="D10" s="82">
        <v>37.140531890000005</v>
      </c>
      <c r="E10" s="205">
        <v>34.471187329999992</v>
      </c>
      <c r="F10" s="82">
        <v>34.766403799999992</v>
      </c>
      <c r="G10" s="82">
        <v>35.931135980000001</v>
      </c>
      <c r="H10" s="82">
        <v>30.952788890000001</v>
      </c>
    </row>
    <row r="11" spans="1:8">
      <c r="A11" s="125" t="s">
        <v>182</v>
      </c>
      <c r="B11" s="204">
        <v>-6.1000002000000002</v>
      </c>
      <c r="C11" s="82">
        <v>-5.1700007299999999</v>
      </c>
      <c r="D11" s="82">
        <v>-2.5179998700000001</v>
      </c>
      <c r="E11" s="205">
        <v>-3.132000109999999</v>
      </c>
      <c r="F11" s="82">
        <v>-2.9190000000000005</v>
      </c>
      <c r="G11" s="82">
        <v>-5.1589999999999998</v>
      </c>
      <c r="H11" s="82">
        <v>-3.8139999999999996</v>
      </c>
    </row>
    <row r="12" spans="1:8">
      <c r="A12" s="139" t="s">
        <v>83</v>
      </c>
      <c r="B12" s="202">
        <v>288.92194226000004</v>
      </c>
      <c r="C12" s="77">
        <v>284.22765580000004</v>
      </c>
      <c r="D12" s="77">
        <v>277.39579591</v>
      </c>
      <c r="E12" s="203">
        <v>276.68265530999997</v>
      </c>
      <c r="F12" s="77">
        <v>260.92695979999996</v>
      </c>
      <c r="G12" s="77">
        <v>282.34666505999996</v>
      </c>
      <c r="H12" s="77">
        <v>290.34835407999992</v>
      </c>
    </row>
    <row r="13" spans="1:8">
      <c r="A13" s="125" t="s">
        <v>85</v>
      </c>
      <c r="B13" s="204">
        <v>-108.12226634</v>
      </c>
      <c r="C13" s="82">
        <v>-99.860786469999994</v>
      </c>
      <c r="D13" s="82">
        <v>-95.196270950000013</v>
      </c>
      <c r="E13" s="205">
        <v>-97.60675716999998</v>
      </c>
      <c r="F13" s="82">
        <v>-96.87774933</v>
      </c>
      <c r="G13" s="82">
        <v>-99.155750009999991</v>
      </c>
      <c r="H13" s="82">
        <v>-101.92180465999998</v>
      </c>
    </row>
    <row r="14" spans="1:8">
      <c r="A14" s="125" t="s">
        <v>87</v>
      </c>
      <c r="B14" s="204">
        <v>-99.443266279999989</v>
      </c>
      <c r="C14" s="82">
        <v>-91.075787119999987</v>
      </c>
      <c r="D14" s="82">
        <v>-86.540270430000021</v>
      </c>
      <c r="E14" s="205">
        <v>-88.739756319999984</v>
      </c>
      <c r="F14" s="82">
        <v>-87.758749330000001</v>
      </c>
      <c r="G14" s="82">
        <v>-89.385750009999995</v>
      </c>
      <c r="H14" s="82">
        <v>-91.664804659999987</v>
      </c>
    </row>
    <row r="15" spans="1:8">
      <c r="A15" s="141" t="s">
        <v>89</v>
      </c>
      <c r="B15" s="204">
        <v>-55.71199859</v>
      </c>
      <c r="C15" s="82">
        <v>-48.950710929999993</v>
      </c>
      <c r="D15" s="82">
        <v>-48.620000040000008</v>
      </c>
      <c r="E15" s="205">
        <v>-48.241492180000009</v>
      </c>
      <c r="F15" s="82">
        <v>-48.158999999999992</v>
      </c>
      <c r="G15" s="82">
        <v>-48.893000000000001</v>
      </c>
      <c r="H15" s="82">
        <v>-50.337054670000008</v>
      </c>
    </row>
    <row r="16" spans="1:8">
      <c r="A16" s="141" t="s">
        <v>91</v>
      </c>
      <c r="B16" s="204">
        <v>-43.731267689999996</v>
      </c>
      <c r="C16" s="82">
        <v>-42.125076190000001</v>
      </c>
      <c r="D16" s="82">
        <v>-37.920270390000006</v>
      </c>
      <c r="E16" s="205">
        <v>-40.498264139999982</v>
      </c>
      <c r="F16" s="82">
        <v>-39.599749330000009</v>
      </c>
      <c r="G16" s="82">
        <v>-40.492750010000002</v>
      </c>
      <c r="H16" s="82">
        <v>-41.327749989999973</v>
      </c>
    </row>
    <row r="17" spans="1:8" ht="13.5" customHeight="1">
      <c r="A17" s="125" t="s">
        <v>93</v>
      </c>
      <c r="B17" s="204">
        <v>-8.6790000599999981</v>
      </c>
      <c r="C17" s="82">
        <v>-8.7849993499999997</v>
      </c>
      <c r="D17" s="82">
        <v>-8.6560005199999992</v>
      </c>
      <c r="E17" s="205">
        <v>-8.8670008500000002</v>
      </c>
      <c r="F17" s="82">
        <v>-9.1189999999999998</v>
      </c>
      <c r="G17" s="82">
        <v>-9.77</v>
      </c>
      <c r="H17" s="82">
        <v>-10.256999999999998</v>
      </c>
    </row>
    <row r="18" spans="1:8" ht="12.75" customHeight="1">
      <c r="A18" s="139" t="s">
        <v>95</v>
      </c>
      <c r="B18" s="202">
        <v>180.79967592000003</v>
      </c>
      <c r="C18" s="77">
        <v>184.36686933000004</v>
      </c>
      <c r="D18" s="77">
        <v>182.19952495999996</v>
      </c>
      <c r="E18" s="203">
        <v>179.07589813999996</v>
      </c>
      <c r="F18" s="77">
        <v>164.04921046999999</v>
      </c>
      <c r="G18" s="77">
        <v>183.19091505</v>
      </c>
      <c r="H18" s="77">
        <v>188.42654941999996</v>
      </c>
    </row>
    <row r="19" spans="1:8" ht="13.5" customHeight="1">
      <c r="A19" s="125" t="s">
        <v>97</v>
      </c>
      <c r="B19" s="204">
        <v>-42.137999569999998</v>
      </c>
      <c r="C19" s="82">
        <v>-55.485000149999991</v>
      </c>
      <c r="D19" s="82">
        <v>-51.888000259999998</v>
      </c>
      <c r="E19" s="205">
        <v>-3.2619998699999826</v>
      </c>
      <c r="F19" s="82">
        <v>-51.77200000000002</v>
      </c>
      <c r="G19" s="82">
        <v>-33.053999980000015</v>
      </c>
      <c r="H19" s="82">
        <v>-55.417000009999967</v>
      </c>
    </row>
    <row r="20" spans="1:8" ht="13.5" customHeight="1">
      <c r="A20" s="125" t="s">
        <v>291</v>
      </c>
      <c r="B20" s="204">
        <v>-8.07900068</v>
      </c>
      <c r="C20" s="82">
        <v>-5.9709994800000006</v>
      </c>
      <c r="D20" s="82">
        <v>0.82699962000000093</v>
      </c>
      <c r="E20" s="205">
        <v>-29.317000460000003</v>
      </c>
      <c r="F20" s="82">
        <v>-0.12800000000000367</v>
      </c>
      <c r="G20" s="82">
        <v>-2.6169999899999907</v>
      </c>
      <c r="H20" s="82">
        <v>-1.3930000300000027</v>
      </c>
    </row>
    <row r="21" spans="1:8" ht="12.75" customHeight="1">
      <c r="A21" s="139" t="s">
        <v>103</v>
      </c>
      <c r="B21" s="202">
        <v>130.58267567000001</v>
      </c>
      <c r="C21" s="77">
        <v>122.91086970000003</v>
      </c>
      <c r="D21" s="77">
        <v>131.13852431999996</v>
      </c>
      <c r="E21" s="203">
        <v>146.49689781000001</v>
      </c>
      <c r="F21" s="77">
        <v>112.14921046999996</v>
      </c>
      <c r="G21" s="77">
        <v>147.51991508000006</v>
      </c>
      <c r="H21" s="77">
        <v>131.61654938000004</v>
      </c>
    </row>
    <row r="22" spans="1:8" ht="13.5" customHeight="1">
      <c r="A22" s="125" t="s">
        <v>105</v>
      </c>
      <c r="B22" s="204">
        <v>-36.622123779999995</v>
      </c>
      <c r="C22" s="82">
        <v>-31.813768270000001</v>
      </c>
      <c r="D22" s="82">
        <v>-35.328026250000001</v>
      </c>
      <c r="E22" s="205">
        <v>-39.598479429999998</v>
      </c>
      <c r="F22" s="82">
        <v>-33.237507090000001</v>
      </c>
      <c r="G22" s="82">
        <v>-42.309070079999998</v>
      </c>
      <c r="H22" s="82">
        <v>-38.298865309999996</v>
      </c>
    </row>
    <row r="23" spans="1:8" ht="13.5" customHeight="1">
      <c r="A23" s="139" t="s">
        <v>107</v>
      </c>
      <c r="B23" s="202">
        <v>93.960551890000005</v>
      </c>
      <c r="C23" s="77">
        <v>91.097101430000023</v>
      </c>
      <c r="D23" s="77">
        <v>95.810498069999966</v>
      </c>
      <c r="E23" s="203">
        <v>106.89841838</v>
      </c>
      <c r="F23" s="77">
        <v>78.911703379999949</v>
      </c>
      <c r="G23" s="77">
        <v>105.21084500000002</v>
      </c>
      <c r="H23" s="77">
        <v>93.317684070000041</v>
      </c>
    </row>
    <row r="24" spans="1:8" ht="12" customHeight="1">
      <c r="A24" s="125" t="s">
        <v>109</v>
      </c>
      <c r="B24" s="204">
        <v>-50.750852949999995</v>
      </c>
      <c r="C24" s="82">
        <v>-49.031102150000002</v>
      </c>
      <c r="D24" s="82">
        <v>-51.116698869999993</v>
      </c>
      <c r="E24" s="205">
        <v>-57.040632099999996</v>
      </c>
      <c r="F24" s="82">
        <v>-42.561408389999997</v>
      </c>
      <c r="G24" s="82">
        <v>-56.639250940000011</v>
      </c>
      <c r="H24" s="82">
        <v>-50.03899091000001</v>
      </c>
    </row>
    <row r="25" spans="1:8" ht="14.25" customHeight="1">
      <c r="A25" s="206" t="s">
        <v>111</v>
      </c>
      <c r="B25" s="207">
        <v>43.20969894000001</v>
      </c>
      <c r="C25" s="208">
        <v>42.065999280000035</v>
      </c>
      <c r="D25" s="208">
        <v>44.693799199999965</v>
      </c>
      <c r="E25" s="209">
        <v>49.857786279999999</v>
      </c>
      <c r="F25" s="208">
        <v>36.350294989999952</v>
      </c>
      <c r="G25" s="208">
        <v>48.571594060000024</v>
      </c>
      <c r="H25" s="208">
        <v>43.278693160000046</v>
      </c>
    </row>
    <row r="26" spans="1:8" ht="14.25" customHeight="1">
      <c r="A26" s="215"/>
      <c r="B26" s="72"/>
      <c r="C26" s="72"/>
      <c r="D26" s="72"/>
      <c r="E26" s="72"/>
      <c r="F26" s="72"/>
      <c r="G26" s="72"/>
      <c r="H26" s="72"/>
    </row>
    <row r="27" spans="1:8" ht="14.25" customHeight="1">
      <c r="A27" s="139"/>
      <c r="B27" s="77"/>
      <c r="C27" s="77"/>
      <c r="D27" s="77"/>
      <c r="E27" s="77"/>
      <c r="F27" s="77"/>
      <c r="G27" s="77"/>
      <c r="H27" s="77"/>
    </row>
    <row r="28" spans="1:8" ht="18" customHeight="1">
      <c r="A28" s="65" t="s">
        <v>181</v>
      </c>
      <c r="B28" s="67"/>
      <c r="C28" s="199"/>
      <c r="D28" s="199"/>
      <c r="E28" s="199"/>
      <c r="F28" s="67"/>
      <c r="G28" s="67"/>
      <c r="H28" s="67"/>
    </row>
    <row r="29" spans="1:8" ht="12.75" customHeight="1">
      <c r="A29" s="68" t="s">
        <v>55</v>
      </c>
      <c r="B29" s="72"/>
      <c r="C29" s="200"/>
      <c r="D29" s="200"/>
      <c r="E29" s="200"/>
      <c r="F29" s="72"/>
      <c r="G29" s="72"/>
      <c r="H29" s="72"/>
    </row>
    <row r="30" spans="1:8" ht="13.5" customHeight="1">
      <c r="A30" s="72"/>
      <c r="B30" s="59">
        <v>42825</v>
      </c>
      <c r="C30" s="59">
        <v>42916</v>
      </c>
      <c r="D30" s="59">
        <v>43008</v>
      </c>
      <c r="E30" s="59">
        <v>43100</v>
      </c>
      <c r="F30" s="59">
        <v>43190</v>
      </c>
      <c r="G30" s="59">
        <v>43281</v>
      </c>
      <c r="H30" s="59">
        <v>43373</v>
      </c>
    </row>
    <row r="31" spans="1:8" s="86" customFormat="1">
      <c r="A31" s="125" t="s">
        <v>120</v>
      </c>
      <c r="B31" s="204">
        <v>3091.1729999999998</v>
      </c>
      <c r="C31" s="82">
        <v>2930.3829999999989</v>
      </c>
      <c r="D31" s="82">
        <v>2481.9839999999999</v>
      </c>
      <c r="E31" s="205">
        <v>2817.0349999999989</v>
      </c>
      <c r="F31" s="82">
        <v>2640.03</v>
      </c>
      <c r="G31" s="82">
        <v>2563.375</v>
      </c>
      <c r="H31" s="82">
        <v>2307.9760000000001</v>
      </c>
    </row>
    <row r="32" spans="1:8" s="86" customFormat="1">
      <c r="A32" s="125" t="s">
        <v>192</v>
      </c>
      <c r="B32" s="204">
        <v>1947.9090000000001</v>
      </c>
      <c r="C32" s="82">
        <v>1676.52</v>
      </c>
      <c r="D32" s="82">
        <v>1989.9899999999998</v>
      </c>
      <c r="E32" s="205">
        <v>2106.5830000000001</v>
      </c>
      <c r="F32" s="82">
        <v>2199.7389999999996</v>
      </c>
      <c r="G32" s="82">
        <v>1850.479</v>
      </c>
      <c r="H32" s="82">
        <v>2379.0870000000004</v>
      </c>
    </row>
    <row r="33" spans="1:8" s="86" customFormat="1">
      <c r="A33" s="125" t="s">
        <v>705</v>
      </c>
      <c r="B33" s="204">
        <v>15791.438010940279</v>
      </c>
      <c r="C33" s="82">
        <v>14429.97199648399</v>
      </c>
      <c r="D33" s="82">
        <v>14719.94700544628</v>
      </c>
      <c r="E33" s="205">
        <v>14188.10200953291</v>
      </c>
      <c r="F33" s="82">
        <v>13908.269</v>
      </c>
      <c r="G33" s="82">
        <v>14144.184999999998</v>
      </c>
      <c r="H33" s="82">
        <v>13954.523999999998</v>
      </c>
    </row>
    <row r="34" spans="1:8" s="86" customFormat="1">
      <c r="A34" s="125" t="s">
        <v>195</v>
      </c>
      <c r="B34" s="204">
        <v>13376.50701094028</v>
      </c>
      <c r="C34" s="82">
        <v>12535.191996483987</v>
      </c>
      <c r="D34" s="82">
        <v>12636.097005446281</v>
      </c>
      <c r="E34" s="205">
        <v>12732.411009532907</v>
      </c>
      <c r="F34" s="82">
        <v>12493.393</v>
      </c>
      <c r="G34" s="82">
        <v>13247.043999999998</v>
      </c>
      <c r="H34" s="82">
        <v>13457.549999999997</v>
      </c>
    </row>
    <row r="35" spans="1:8" s="86" customFormat="1">
      <c r="A35" s="125" t="s">
        <v>140</v>
      </c>
      <c r="B35" s="204">
        <v>249.67699999999999</v>
      </c>
      <c r="C35" s="82">
        <v>232.149</v>
      </c>
      <c r="D35" s="82">
        <v>225.29099999999991</v>
      </c>
      <c r="E35" s="205">
        <v>233.93100000000001</v>
      </c>
      <c r="F35" s="82">
        <v>221.428</v>
      </c>
      <c r="G35" s="82">
        <v>227.10699999999991</v>
      </c>
      <c r="H35" s="82">
        <v>228.00900000000001</v>
      </c>
    </row>
    <row r="36" spans="1:8" s="86" customFormat="1">
      <c r="A36" s="125" t="s">
        <v>144</v>
      </c>
      <c r="B36" s="204">
        <v>728.22882126000593</v>
      </c>
      <c r="C36" s="82">
        <v>507.00259088999752</v>
      </c>
      <c r="D36" s="82">
        <v>440.15743157999879</v>
      </c>
      <c r="E36" s="205">
        <v>335.52968367999677</v>
      </c>
      <c r="F36" s="82">
        <v>290.27099999999996</v>
      </c>
      <c r="G36" s="82">
        <v>281.39499999999987</v>
      </c>
      <c r="H36" s="82">
        <v>302.13699999999966</v>
      </c>
    </row>
    <row r="37" spans="1:8">
      <c r="A37" s="206" t="s">
        <v>201</v>
      </c>
      <c r="B37" s="207">
        <v>21808.425832200286</v>
      </c>
      <c r="C37" s="208">
        <v>19776.026587373988</v>
      </c>
      <c r="D37" s="208">
        <v>19857.369437026282</v>
      </c>
      <c r="E37" s="209">
        <v>19681.180693212907</v>
      </c>
      <c r="F37" s="208">
        <v>19259.737000000001</v>
      </c>
      <c r="G37" s="208">
        <v>19066.540999999997</v>
      </c>
      <c r="H37" s="208">
        <v>19172.03503341</v>
      </c>
    </row>
    <row r="38" spans="1:8">
      <c r="A38" s="125" t="s">
        <v>207</v>
      </c>
      <c r="B38" s="204">
        <v>161.453</v>
      </c>
      <c r="C38" s="82">
        <v>136.39699999999999</v>
      </c>
      <c r="D38" s="82">
        <v>115.759</v>
      </c>
      <c r="E38" s="205">
        <v>98.515000000000001</v>
      </c>
      <c r="F38" s="82">
        <v>93.201999999999998</v>
      </c>
      <c r="G38" s="82">
        <v>89.533999999999992</v>
      </c>
      <c r="H38" s="82">
        <v>97.308999999999997</v>
      </c>
    </row>
    <row r="39" spans="1:8" s="86" customFormat="1">
      <c r="A39" s="125" t="s">
        <v>203</v>
      </c>
      <c r="B39" s="204">
        <v>3287.1610000000001</v>
      </c>
      <c r="C39" s="82">
        <v>2667.8850000000002</v>
      </c>
      <c r="D39" s="82">
        <v>2611.56</v>
      </c>
      <c r="E39" s="205">
        <v>2675.9859999999999</v>
      </c>
      <c r="F39" s="82">
        <v>2686.7750000000001</v>
      </c>
      <c r="G39" s="82">
        <v>2769.5219999999999</v>
      </c>
      <c r="H39" s="82">
        <v>1822.9280000000001</v>
      </c>
    </row>
    <row r="40" spans="1:8" s="86" customFormat="1">
      <c r="A40" s="125" t="s">
        <v>205</v>
      </c>
      <c r="B40" s="204">
        <v>13462.402000000002</v>
      </c>
      <c r="C40" s="82">
        <v>12619.902007032026</v>
      </c>
      <c r="D40" s="82">
        <v>12906.153004927593</v>
      </c>
      <c r="E40" s="205">
        <v>12472.469009790551</v>
      </c>
      <c r="F40" s="82">
        <v>12010.341999999999</v>
      </c>
      <c r="G40" s="82">
        <v>12065.185999999998</v>
      </c>
      <c r="H40" s="82">
        <v>13007.300999999999</v>
      </c>
    </row>
    <row r="41" spans="1:8" s="86" customFormat="1" ht="13.5" customHeight="1">
      <c r="A41" s="125" t="s">
        <v>209</v>
      </c>
      <c r="B41" s="204">
        <v>1965.175</v>
      </c>
      <c r="C41" s="82">
        <v>1784.223</v>
      </c>
      <c r="D41" s="82">
        <v>1691.4369999999999</v>
      </c>
      <c r="E41" s="205">
        <v>1797.655</v>
      </c>
      <c r="F41" s="82">
        <v>1731.623</v>
      </c>
      <c r="G41" s="82">
        <v>1421.903</v>
      </c>
      <c r="H41" s="82">
        <v>1455.998</v>
      </c>
    </row>
    <row r="42" spans="1:8" s="86" customFormat="1">
      <c r="A42" s="125" t="s">
        <v>166</v>
      </c>
      <c r="B42" s="204">
        <v>2345.4736112599999</v>
      </c>
      <c r="C42" s="82">
        <v>2013.8668908900001</v>
      </c>
      <c r="D42" s="82">
        <v>2000.5546297000001</v>
      </c>
      <c r="E42" s="205">
        <v>2105.0385169299998</v>
      </c>
      <c r="F42" s="82">
        <v>2170.0385620700004</v>
      </c>
      <c r="G42" s="82">
        <v>2134.3706799999991</v>
      </c>
      <c r="H42" s="82">
        <v>2181.1885419499999</v>
      </c>
    </row>
    <row r="43" spans="1:8" s="86" customFormat="1" ht="12.75" customHeight="1">
      <c r="A43" s="125" t="s">
        <v>214</v>
      </c>
      <c r="B43" s="204">
        <v>586.76121000000001</v>
      </c>
      <c r="C43" s="82">
        <v>553.75269999999989</v>
      </c>
      <c r="D43" s="82">
        <v>531.90580188000001</v>
      </c>
      <c r="E43" s="205">
        <v>531.51716675000011</v>
      </c>
      <c r="F43" s="82">
        <v>567.46824000000004</v>
      </c>
      <c r="G43" s="82">
        <v>586.02531999999997</v>
      </c>
      <c r="H43" s="82">
        <v>607.31049145999998</v>
      </c>
    </row>
    <row r="44" spans="1:8" ht="12.75" customHeight="1">
      <c r="A44" s="215"/>
      <c r="B44" s="69"/>
      <c r="C44" s="82"/>
      <c r="D44" s="82"/>
      <c r="E44" s="82"/>
      <c r="F44" s="82"/>
      <c r="G44" s="82"/>
      <c r="H44" s="82"/>
    </row>
    <row r="45" spans="1:8" ht="12.75" customHeight="1">
      <c r="A45" s="125"/>
      <c r="B45" s="69"/>
      <c r="C45" s="82"/>
      <c r="D45" s="82"/>
      <c r="E45" s="82"/>
      <c r="F45" s="82"/>
      <c r="G45" s="82"/>
      <c r="H45" s="82"/>
    </row>
    <row r="46" spans="1:8" ht="15" customHeight="1">
      <c r="A46" s="65" t="s">
        <v>216</v>
      </c>
      <c r="B46" s="67"/>
      <c r="C46" s="199"/>
      <c r="D46" s="199"/>
      <c r="E46" s="199"/>
      <c r="F46" s="67"/>
      <c r="G46" s="67"/>
      <c r="H46" s="67"/>
    </row>
    <row r="47" spans="1:8" ht="13.5" customHeight="1">
      <c r="A47" s="68" t="s">
        <v>55</v>
      </c>
      <c r="B47" s="72"/>
      <c r="C47" s="200"/>
      <c r="D47" s="200"/>
      <c r="E47" s="200"/>
      <c r="F47" s="72"/>
      <c r="G47" s="72"/>
      <c r="H47" s="72"/>
    </row>
    <row r="48" spans="1:8" ht="15.75">
      <c r="A48" s="72"/>
      <c r="B48" s="59">
        <v>42825</v>
      </c>
      <c r="C48" s="59">
        <v>42916</v>
      </c>
      <c r="D48" s="59">
        <v>43008</v>
      </c>
      <c r="E48" s="59">
        <v>43100</v>
      </c>
      <c r="F48" s="59">
        <v>43190</v>
      </c>
      <c r="G48" s="59">
        <v>43281</v>
      </c>
      <c r="H48" s="59">
        <v>43373</v>
      </c>
    </row>
    <row r="49" spans="1:8" ht="12" customHeight="1">
      <c r="A49" s="125" t="s">
        <v>218</v>
      </c>
      <c r="B49" s="214">
        <v>14022.895999999999</v>
      </c>
      <c r="C49" s="69">
        <v>13172.294</v>
      </c>
      <c r="D49" s="69">
        <v>13258.82</v>
      </c>
      <c r="E49" s="69">
        <v>13308.886</v>
      </c>
      <c r="F49" s="214">
        <v>12941.17703006</v>
      </c>
      <c r="G49" s="69">
        <v>13911.08</v>
      </c>
      <c r="H49" s="69">
        <v>14145.271999999997</v>
      </c>
    </row>
    <row r="50" spans="1:8">
      <c r="A50" s="125" t="s">
        <v>549</v>
      </c>
      <c r="B50" s="214">
        <v>13442.02308775173</v>
      </c>
      <c r="C50" s="69">
        <v>12280.286482825</v>
      </c>
      <c r="D50" s="69">
        <v>12413.8735258957</v>
      </c>
      <c r="E50" s="69">
        <v>12202.629858955481</v>
      </c>
      <c r="F50" s="214">
        <v>11754.71224676</v>
      </c>
      <c r="G50" s="69">
        <v>12065.186</v>
      </c>
      <c r="H50" s="69">
        <v>13006.363069049999</v>
      </c>
    </row>
    <row r="51" spans="1:8">
      <c r="A51" s="125" t="s">
        <v>226</v>
      </c>
      <c r="B51" s="214">
        <v>1598.9195573</v>
      </c>
      <c r="C51" s="69">
        <v>1546.1836050899999</v>
      </c>
      <c r="D51" s="69">
        <v>1536.53579309</v>
      </c>
      <c r="E51" s="69">
        <v>1581.0760654400001</v>
      </c>
      <c r="F51" s="214">
        <v>1618.2999808</v>
      </c>
      <c r="G51" s="69">
        <v>1692.0950758000001</v>
      </c>
      <c r="H51" s="69">
        <v>1697.6484442800001</v>
      </c>
    </row>
    <row r="52" spans="1:8">
      <c r="A52" s="125" t="s">
        <v>377</v>
      </c>
      <c r="B52" s="213">
        <v>0</v>
      </c>
      <c r="C52" s="82">
        <v>0</v>
      </c>
      <c r="D52" s="82">
        <v>0</v>
      </c>
      <c r="E52" s="82">
        <v>0</v>
      </c>
      <c r="F52" s="213">
        <v>0</v>
      </c>
      <c r="G52" s="82" t="s">
        <v>744</v>
      </c>
      <c r="H52" s="82">
        <v>0</v>
      </c>
    </row>
    <row r="53" spans="1:8">
      <c r="A53" s="125" t="s">
        <v>540</v>
      </c>
      <c r="B53" s="213">
        <v>0</v>
      </c>
      <c r="C53" s="82">
        <v>0</v>
      </c>
      <c r="D53" s="82">
        <v>0</v>
      </c>
      <c r="E53" s="82">
        <v>0</v>
      </c>
      <c r="F53" s="213">
        <v>0</v>
      </c>
      <c r="G53" s="82" t="s">
        <v>744</v>
      </c>
      <c r="H53" s="82">
        <v>0</v>
      </c>
    </row>
    <row r="54" spans="1:8">
      <c r="A54" s="215" t="s">
        <v>538</v>
      </c>
      <c r="B54" s="69"/>
      <c r="C54" s="69"/>
      <c r="D54" s="69"/>
      <c r="E54" s="69"/>
      <c r="F54" s="69"/>
      <c r="G54" s="69"/>
      <c r="H54" s="69"/>
    </row>
    <row r="55" spans="1:8">
      <c r="A55" s="215" t="s">
        <v>500</v>
      </c>
      <c r="B55" s="72"/>
      <c r="C55" s="72"/>
      <c r="D55" s="72"/>
      <c r="E55" s="72"/>
      <c r="F55" s="72"/>
      <c r="G55" s="72"/>
      <c r="H55" s="72"/>
    </row>
    <row r="56" spans="1:8">
      <c r="A56" s="215"/>
      <c r="B56" s="72"/>
      <c r="C56" s="72"/>
      <c r="D56" s="72"/>
      <c r="E56" s="72"/>
      <c r="F56" s="72"/>
      <c r="G56" s="72"/>
      <c r="H56" s="72"/>
    </row>
    <row r="57" spans="1:8" ht="18">
      <c r="A57" s="65" t="s">
        <v>179</v>
      </c>
      <c r="B57" s="67"/>
      <c r="C57" s="199"/>
      <c r="D57" s="199"/>
      <c r="E57" s="199"/>
      <c r="F57" s="67"/>
      <c r="G57" s="67"/>
      <c r="H57" s="67"/>
    </row>
    <row r="58" spans="1:8">
      <c r="A58" s="68" t="s">
        <v>57</v>
      </c>
      <c r="B58" s="72"/>
      <c r="C58" s="200"/>
      <c r="D58" s="200"/>
      <c r="E58" s="200"/>
      <c r="F58" s="72"/>
      <c r="G58" s="72"/>
      <c r="H58" s="72"/>
    </row>
    <row r="59" spans="1:8">
      <c r="A59" s="201"/>
      <c r="B59" s="72"/>
      <c r="C59" s="200"/>
      <c r="D59" s="200"/>
      <c r="E59" s="200"/>
      <c r="F59" s="72"/>
      <c r="G59" s="212"/>
      <c r="H59" s="212"/>
    </row>
    <row r="60" spans="1:8" ht="15.75">
      <c r="A60" s="73"/>
      <c r="B60" s="315">
        <v>2017</v>
      </c>
      <c r="C60" s="316"/>
      <c r="D60" s="316"/>
      <c r="E60" s="316"/>
      <c r="F60" s="315">
        <v>2018</v>
      </c>
      <c r="G60" s="316"/>
      <c r="H60" s="316"/>
    </row>
    <row r="61" spans="1:8" ht="15.75">
      <c r="A61" s="73"/>
      <c r="B61" s="93" t="s">
        <v>751</v>
      </c>
      <c r="C61" s="93" t="s">
        <v>65</v>
      </c>
      <c r="D61" s="93" t="s">
        <v>752</v>
      </c>
      <c r="E61" s="93" t="s">
        <v>69</v>
      </c>
      <c r="F61" s="93" t="s">
        <v>751</v>
      </c>
      <c r="G61" s="93" t="s">
        <v>65</v>
      </c>
      <c r="H61" s="93" t="s">
        <v>752</v>
      </c>
    </row>
    <row r="62" spans="1:8">
      <c r="A62" s="139" t="s">
        <v>71</v>
      </c>
      <c r="B62" s="202">
        <v>179.9371863063069</v>
      </c>
      <c r="C62" s="77">
        <v>178.76230134914044</v>
      </c>
      <c r="D62" s="77">
        <v>183.04516471161682</v>
      </c>
      <c r="E62" s="203">
        <v>184.46197136199908</v>
      </c>
      <c r="F62" s="139">
        <v>184.33369596008626</v>
      </c>
      <c r="G62" s="139">
        <v>194.9824167401606</v>
      </c>
      <c r="H62" s="139">
        <v>206.50088729975317</v>
      </c>
    </row>
    <row r="63" spans="1:8">
      <c r="A63" s="125" t="s">
        <v>73</v>
      </c>
      <c r="B63" s="204">
        <v>50.605104229610689</v>
      </c>
      <c r="C63" s="82">
        <v>50.777861740811161</v>
      </c>
      <c r="D63" s="82">
        <v>55.178315951733836</v>
      </c>
      <c r="E63" s="205">
        <v>56.361434263802593</v>
      </c>
      <c r="F63" s="216">
        <v>49.650241682599813</v>
      </c>
      <c r="G63" s="216">
        <v>56.008093745534737</v>
      </c>
      <c r="H63" s="216">
        <v>52.388314841865466</v>
      </c>
    </row>
    <row r="64" spans="1:8">
      <c r="A64" s="125" t="s">
        <v>75</v>
      </c>
      <c r="B64" s="204">
        <v>34.525633246896447</v>
      </c>
      <c r="C64" s="82">
        <v>37.214100376704486</v>
      </c>
      <c r="D64" s="82">
        <v>36.478888670896822</v>
      </c>
      <c r="E64" s="205">
        <v>33.965682965278873</v>
      </c>
      <c r="F64" s="216">
        <v>35.510720383968454</v>
      </c>
      <c r="G64" s="216">
        <v>35.822284791953734</v>
      </c>
      <c r="H64" s="216">
        <v>30.317323494077804</v>
      </c>
    </row>
    <row r="65" spans="1:8" ht="17.25" customHeight="1">
      <c r="A65" s="125" t="s">
        <v>182</v>
      </c>
      <c r="B65" s="204">
        <v>-5.4806580642996643</v>
      </c>
      <c r="C65" s="82">
        <v>-4.775049573251211</v>
      </c>
      <c r="D65" s="82">
        <v>-2.6101162432388794</v>
      </c>
      <c r="E65" s="205">
        <v>-3.1249632007551154</v>
      </c>
      <c r="F65" s="216">
        <v>-2.9814930930763652</v>
      </c>
      <c r="G65" s="216">
        <v>-5.1691160738654194</v>
      </c>
      <c r="H65" s="216">
        <v>-3.7413908330582144</v>
      </c>
    </row>
    <row r="66" spans="1:8" ht="15.75" customHeight="1">
      <c r="A66" s="139" t="s">
        <v>83</v>
      </c>
      <c r="B66" s="202">
        <v>259.58726571851435</v>
      </c>
      <c r="C66" s="77">
        <v>261.9792138934049</v>
      </c>
      <c r="D66" s="77">
        <v>272.09225309100862</v>
      </c>
      <c r="E66" s="203">
        <v>271.66412539032547</v>
      </c>
      <c r="F66" s="139">
        <v>266.51316493357814</v>
      </c>
      <c r="G66" s="139">
        <v>281.64367920378362</v>
      </c>
      <c r="H66" s="139">
        <v>285.4651348026382</v>
      </c>
    </row>
    <row r="67" spans="1:8">
      <c r="A67" s="125" t="s">
        <v>85</v>
      </c>
      <c r="B67" s="204">
        <v>-97.14445106848963</v>
      </c>
      <c r="C67" s="82">
        <v>-92.120252318244155</v>
      </c>
      <c r="D67" s="82">
        <v>-93.63720823725572</v>
      </c>
      <c r="E67" s="205">
        <v>-95.873770451221475</v>
      </c>
      <c r="F67" s="216">
        <v>-98.951812435826838</v>
      </c>
      <c r="G67" s="216">
        <v>-98.843735564703053</v>
      </c>
      <c r="H67" s="216">
        <v>-100.15975599947011</v>
      </c>
    </row>
    <row r="68" spans="1:8">
      <c r="A68" s="125" t="s">
        <v>87</v>
      </c>
      <c r="B68" s="204">
        <v>-89.346642853844614</v>
      </c>
      <c r="C68" s="82">
        <v>-84.025810546063212</v>
      </c>
      <c r="D68" s="82">
        <v>-85.156430999886794</v>
      </c>
      <c r="E68" s="205">
        <v>-87.181215523812057</v>
      </c>
      <c r="F68" s="216">
        <v>-89.637583071056909</v>
      </c>
      <c r="G68" s="216">
        <v>-89.099181003456209</v>
      </c>
      <c r="H68" s="216">
        <v>-90.072539925486865</v>
      </c>
    </row>
    <row r="69" spans="1:8">
      <c r="A69" s="227" t="s">
        <v>89</v>
      </c>
      <c r="B69" s="204">
        <v>-50.055476121219627</v>
      </c>
      <c r="C69" s="82">
        <v>-45.187652611249128</v>
      </c>
      <c r="D69" s="82">
        <v>-47.787639380716151</v>
      </c>
      <c r="E69" s="205">
        <v>-47.426113003060486</v>
      </c>
      <c r="F69" s="216">
        <v>-49.190039694917672</v>
      </c>
      <c r="G69" s="216">
        <v>-48.734312975301947</v>
      </c>
      <c r="H69" s="216">
        <v>-49.464701999780388</v>
      </c>
    </row>
    <row r="70" spans="1:8">
      <c r="A70" s="227" t="s">
        <v>91</v>
      </c>
      <c r="B70" s="204">
        <v>-39.291166732624987</v>
      </c>
      <c r="C70" s="82">
        <v>-38.838157934814078</v>
      </c>
      <c r="D70" s="82">
        <v>-37.368791619170644</v>
      </c>
      <c r="E70" s="205">
        <v>-39.755102520751564</v>
      </c>
      <c r="F70" s="216">
        <v>-40.447543376139237</v>
      </c>
      <c r="G70" s="216">
        <v>-40.36486802815427</v>
      </c>
      <c r="H70" s="216">
        <v>-40.607837925706477</v>
      </c>
    </row>
    <row r="71" spans="1:8" ht="13.5" customHeight="1">
      <c r="A71" s="125" t="s">
        <v>93</v>
      </c>
      <c r="B71" s="204">
        <v>-7.7978082146450189</v>
      </c>
      <c r="C71" s="82">
        <v>-8.0944417721809323</v>
      </c>
      <c r="D71" s="82">
        <v>-8.4807772373689208</v>
      </c>
      <c r="E71" s="205">
        <v>-8.6925549274094109</v>
      </c>
      <c r="F71" s="216">
        <v>-9.3142293647699148</v>
      </c>
      <c r="G71" s="216">
        <v>-9.7445545612468436</v>
      </c>
      <c r="H71" s="216">
        <v>-10.087216073983241</v>
      </c>
    </row>
    <row r="72" spans="1:8" ht="14.25" customHeight="1">
      <c r="A72" s="139" t="s">
        <v>95</v>
      </c>
      <c r="B72" s="202">
        <v>162.4428146500247</v>
      </c>
      <c r="C72" s="77">
        <v>169.85896157516078</v>
      </c>
      <c r="D72" s="77">
        <v>178.4550448537529</v>
      </c>
      <c r="E72" s="203">
        <v>175.79035493910396</v>
      </c>
      <c r="F72" s="139">
        <v>167.56135249775127</v>
      </c>
      <c r="G72" s="139">
        <v>182.79994363908057</v>
      </c>
      <c r="H72" s="139">
        <v>185.30537880316811</v>
      </c>
    </row>
    <row r="73" spans="1:8">
      <c r="A73" s="125" t="s">
        <v>97</v>
      </c>
      <c r="B73" s="204">
        <v>-37.859665505711988</v>
      </c>
      <c r="C73" s="82">
        <v>-50.97732306665992</v>
      </c>
      <c r="D73" s="82">
        <v>-50.674331588230359</v>
      </c>
      <c r="E73" s="205">
        <v>-4.8716810818152361</v>
      </c>
      <c r="F73" s="216">
        <v>-52.880390686793305</v>
      </c>
      <c r="G73" s="216">
        <v>-32.708068465471086</v>
      </c>
      <c r="H73" s="216">
        <v>-54.654540837735588</v>
      </c>
    </row>
    <row r="74" spans="1:8" ht="16.5" customHeight="1">
      <c r="A74" s="125" t="s">
        <v>291</v>
      </c>
      <c r="B74" s="204">
        <v>-7.2587276682916277</v>
      </c>
      <c r="C74" s="82">
        <v>-5.5267809437740318</v>
      </c>
      <c r="D74" s="82">
        <v>0.44689632222391634</v>
      </c>
      <c r="E74" s="205">
        <v>-27.865173871757566</v>
      </c>
      <c r="F74" s="216">
        <v>-0.13074036173818882</v>
      </c>
      <c r="G74" s="216">
        <v>-2.6389330824001087</v>
      </c>
      <c r="H74" s="216">
        <v>-1.3683265758616978</v>
      </c>
    </row>
    <row r="75" spans="1:8" ht="12.75" customHeight="1">
      <c r="A75" s="139" t="s">
        <v>103</v>
      </c>
      <c r="B75" s="202">
        <v>117.32442147602109</v>
      </c>
      <c r="C75" s="77">
        <v>113.3548575647268</v>
      </c>
      <c r="D75" s="77">
        <v>128.22760958774646</v>
      </c>
      <c r="E75" s="203">
        <v>143.05349998553118</v>
      </c>
      <c r="F75" s="139">
        <v>114.55022144921979</v>
      </c>
      <c r="G75" s="139">
        <v>147.45294209120928</v>
      </c>
      <c r="H75" s="139">
        <v>129.2825113895708</v>
      </c>
    </row>
    <row r="76" spans="1:8" ht="13.5" customHeight="1">
      <c r="A76" s="125" t="s">
        <v>105</v>
      </c>
      <c r="B76" s="204">
        <v>-32.90382482719221</v>
      </c>
      <c r="C76" s="82">
        <v>-29.372878177462475</v>
      </c>
      <c r="D76" s="82">
        <v>-34.54721783733256</v>
      </c>
      <c r="E76" s="205">
        <v>-38.665290405353119</v>
      </c>
      <c r="F76" s="216">
        <v>-33.949091407986195</v>
      </c>
      <c r="G76" s="216">
        <v>-42.276536768898779</v>
      </c>
      <c r="H76" s="216">
        <v>-37.619814303115014</v>
      </c>
    </row>
    <row r="77" spans="1:8" ht="12.75" customHeight="1">
      <c r="A77" s="139" t="s">
        <v>107</v>
      </c>
      <c r="B77" s="202">
        <v>84.420596648828877</v>
      </c>
      <c r="C77" s="77">
        <v>83.981979387264332</v>
      </c>
      <c r="D77" s="77">
        <v>93.680391750413875</v>
      </c>
      <c r="E77" s="203">
        <v>104.38820958017803</v>
      </c>
      <c r="F77" s="139">
        <v>80.601130041233574</v>
      </c>
      <c r="G77" s="139">
        <v>105.17640532231052</v>
      </c>
      <c r="H77" s="139">
        <v>91.662697086455779</v>
      </c>
    </row>
    <row r="78" spans="1:8" ht="12.75" customHeight="1">
      <c r="A78" s="125" t="s">
        <v>109</v>
      </c>
      <c r="B78" s="204">
        <v>-45.598043011622174</v>
      </c>
      <c r="C78" s="82">
        <v>-45.20359625752635</v>
      </c>
      <c r="D78" s="82">
        <v>-50.004525017283441</v>
      </c>
      <c r="E78" s="205">
        <v>-55.713497096601529</v>
      </c>
      <c r="F78" s="216">
        <v>-43.472608820276633</v>
      </c>
      <c r="G78" s="216">
        <v>-56.619716421338502</v>
      </c>
      <c r="H78" s="216">
        <v>-49.147324998384882</v>
      </c>
    </row>
    <row r="79" spans="1:8" ht="15" customHeight="1">
      <c r="A79" s="206" t="s">
        <v>111</v>
      </c>
      <c r="B79" s="207">
        <v>38.82255363720671</v>
      </c>
      <c r="C79" s="208">
        <v>38.778383129737989</v>
      </c>
      <c r="D79" s="208">
        <v>43.675866733130441</v>
      </c>
      <c r="E79" s="209">
        <v>48.674712483576499</v>
      </c>
      <c r="F79" s="206">
        <v>37.128521220956955</v>
      </c>
      <c r="G79" s="206">
        <v>48.556688900972013</v>
      </c>
      <c r="H79" s="206">
        <v>42.515372088070912</v>
      </c>
    </row>
    <row r="80" spans="1:8" s="86" customFormat="1" ht="15" customHeight="1">
      <c r="A80" s="215"/>
      <c r="B80" s="77"/>
      <c r="C80" s="77"/>
      <c r="D80" s="77"/>
      <c r="E80" s="77"/>
      <c r="F80" s="139"/>
      <c r="G80" s="139"/>
      <c r="H80" s="139"/>
    </row>
    <row r="81" spans="1:8" s="86" customFormat="1" ht="15" customHeight="1">
      <c r="A81" s="139"/>
      <c r="B81" s="77"/>
      <c r="C81" s="77"/>
      <c r="D81" s="77"/>
      <c r="E81" s="77"/>
      <c r="F81" s="139"/>
      <c r="G81" s="139"/>
      <c r="H81" s="139"/>
    </row>
    <row r="82" spans="1:8" ht="17.25" customHeight="1">
      <c r="A82" s="65" t="s">
        <v>181</v>
      </c>
      <c r="B82" s="67"/>
      <c r="C82" s="199"/>
      <c r="D82" s="199"/>
      <c r="E82" s="199"/>
      <c r="F82" s="67"/>
      <c r="G82" s="67"/>
      <c r="H82" s="67"/>
    </row>
    <row r="83" spans="1:8">
      <c r="A83" s="68" t="s">
        <v>57</v>
      </c>
      <c r="B83" s="72"/>
      <c r="C83" s="200"/>
      <c r="D83" s="200"/>
      <c r="E83" s="200"/>
      <c r="F83" s="72"/>
      <c r="G83" s="72"/>
      <c r="H83" s="72"/>
    </row>
    <row r="84" spans="1:8" ht="15.75">
      <c r="A84" s="72"/>
      <c r="B84" s="59">
        <v>42825</v>
      </c>
      <c r="C84" s="59">
        <v>42916</v>
      </c>
      <c r="D84" s="59">
        <v>43008</v>
      </c>
      <c r="E84" s="59">
        <v>43100</v>
      </c>
      <c r="F84" s="59">
        <v>43190</v>
      </c>
      <c r="G84" s="59">
        <v>43281</v>
      </c>
      <c r="H84" s="59">
        <v>43373</v>
      </c>
    </row>
    <row r="85" spans="1:8" s="86" customFormat="1">
      <c r="A85" s="125" t="s">
        <v>120</v>
      </c>
      <c r="B85" s="204">
        <v>2814.5691597140694</v>
      </c>
      <c r="C85" s="82">
        <v>2840.2163691017599</v>
      </c>
      <c r="D85" s="82">
        <v>2508.7133676502913</v>
      </c>
      <c r="E85" s="205">
        <v>2866.1712384434454</v>
      </c>
      <c r="F85" s="82">
        <v>2752.7155519492144</v>
      </c>
      <c r="G85" s="82">
        <v>2564.1379616274003</v>
      </c>
      <c r="H85" s="82">
        <v>2307.9760000000001</v>
      </c>
    </row>
    <row r="86" spans="1:8" s="86" customFormat="1">
      <c r="A86" s="125" t="s">
        <v>192</v>
      </c>
      <c r="B86" s="204">
        <v>1773.6065232614187</v>
      </c>
      <c r="C86" s="82">
        <v>1624.9341970406172</v>
      </c>
      <c r="D86" s="82">
        <v>2011.4209094379294</v>
      </c>
      <c r="E86" s="205">
        <v>2143.3271528376167</v>
      </c>
      <c r="F86" s="82">
        <v>2293.6314191616052</v>
      </c>
      <c r="G86" s="82">
        <v>1851.0297756256148</v>
      </c>
      <c r="H86" s="82">
        <v>2379.0870000000004</v>
      </c>
    </row>
    <row r="87" spans="1:8" s="86" customFormat="1">
      <c r="A87" s="125" t="s">
        <v>705</v>
      </c>
      <c r="B87" s="204">
        <v>14378.391119852886</v>
      </c>
      <c r="C87" s="82">
        <v>13985.967933233924</v>
      </c>
      <c r="D87" s="82">
        <v>14878.471345370053</v>
      </c>
      <c r="E87" s="205">
        <v>14435.578509966996</v>
      </c>
      <c r="F87" s="82">
        <v>14501.92171187189</v>
      </c>
      <c r="G87" s="82">
        <v>14148.39486800833</v>
      </c>
      <c r="H87" s="82">
        <v>13954.523999999998</v>
      </c>
    </row>
    <row r="88" spans="1:8" s="86" customFormat="1">
      <c r="A88" s="125" t="s">
        <v>195</v>
      </c>
      <c r="B88" s="204">
        <v>12179.552583336983</v>
      </c>
      <c r="C88" s="82">
        <v>12149.489502992334</v>
      </c>
      <c r="D88" s="82">
        <v>12772.179624239676</v>
      </c>
      <c r="E88" s="205">
        <v>12954.496565205578</v>
      </c>
      <c r="F88" s="82">
        <v>13026.653942460292</v>
      </c>
      <c r="G88" s="82">
        <v>13250.98684341873</v>
      </c>
      <c r="H88" s="82">
        <v>13457.549999999997</v>
      </c>
    </row>
    <row r="89" spans="1:8" s="86" customFormat="1">
      <c r="A89" s="125" t="s">
        <v>140</v>
      </c>
      <c r="B89" s="204">
        <v>227.33544324110287</v>
      </c>
      <c r="C89" s="82">
        <v>225.00587461454847</v>
      </c>
      <c r="D89" s="82">
        <v>227.71723883445731</v>
      </c>
      <c r="E89" s="205">
        <v>238.01135022472698</v>
      </c>
      <c r="F89" s="82">
        <v>230.87930790067182</v>
      </c>
      <c r="G89" s="82">
        <v>227.17459601163077</v>
      </c>
      <c r="H89" s="82">
        <v>228.00900000000001</v>
      </c>
    </row>
    <row r="90" spans="1:8" s="86" customFormat="1">
      <c r="A90" s="125" t="s">
        <v>144</v>
      </c>
      <c r="B90" s="204">
        <v>663.06556816237423</v>
      </c>
      <c r="C90" s="82">
        <v>491.40233813218236</v>
      </c>
      <c r="D90" s="82">
        <v>444.89764336731207</v>
      </c>
      <c r="E90" s="205">
        <v>341.38217274816446</v>
      </c>
      <c r="F90" s="82">
        <v>302.66076369581043</v>
      </c>
      <c r="G90" s="82">
        <v>281.47875426425782</v>
      </c>
      <c r="H90" s="82">
        <v>302.13699999999966</v>
      </c>
    </row>
    <row r="91" spans="1:8">
      <c r="A91" s="206" t="s">
        <v>201</v>
      </c>
      <c r="B91" s="208">
        <v>19856.967814231855</v>
      </c>
      <c r="C91" s="208">
        <v>19167.526712123032</v>
      </c>
      <c r="D91" s="208">
        <v>20071.220504660043</v>
      </c>
      <c r="E91" s="208">
        <v>20024.470424220948</v>
      </c>
      <c r="F91" s="208">
        <v>20081.80875457919</v>
      </c>
      <c r="G91" s="208">
        <v>19072.215955537231</v>
      </c>
      <c r="H91" s="208">
        <v>19172.03503341</v>
      </c>
    </row>
    <row r="92" spans="1:8">
      <c r="A92" s="125" t="s">
        <v>207</v>
      </c>
      <c r="B92" s="204">
        <v>147.00588887885462</v>
      </c>
      <c r="C92" s="82">
        <v>132.20012267897155</v>
      </c>
      <c r="D92" s="82">
        <v>117.00564980508739</v>
      </c>
      <c r="E92" s="205">
        <v>100.23335157541743</v>
      </c>
      <c r="F92" s="82">
        <v>97.180181616409911</v>
      </c>
      <c r="G92" s="82">
        <v>89.56064885408793</v>
      </c>
      <c r="H92" s="82">
        <v>97.308999999999997</v>
      </c>
    </row>
    <row r="93" spans="1:8" s="86" customFormat="1">
      <c r="A93" s="125" t="s">
        <v>203</v>
      </c>
      <c r="B93" s="204">
        <v>2993.0197933324534</v>
      </c>
      <c r="C93" s="82">
        <v>2585.795320229829</v>
      </c>
      <c r="D93" s="82">
        <v>2639.684817638145</v>
      </c>
      <c r="E93" s="205">
        <v>2722.6619859807638</v>
      </c>
      <c r="F93" s="82">
        <v>2801.4557891722256</v>
      </c>
      <c r="G93" s="82">
        <v>2770.3463191153232</v>
      </c>
      <c r="H93" s="82">
        <v>1822.9280000000001</v>
      </c>
    </row>
    <row r="94" spans="1:8" s="86" customFormat="1">
      <c r="A94" s="125" t="s">
        <v>205</v>
      </c>
      <c r="B94" s="204">
        <v>12257.761530937611</v>
      </c>
      <c r="C94" s="82">
        <v>12231.593022766136</v>
      </c>
      <c r="D94" s="82">
        <v>13045.14395274177</v>
      </c>
      <c r="E94" s="205">
        <v>12690.020517401766</v>
      </c>
      <c r="F94" s="82">
        <v>12522.984665942749</v>
      </c>
      <c r="G94" s="82">
        <v>12068.777075806487</v>
      </c>
      <c r="H94" s="82">
        <v>13007.300999999999</v>
      </c>
    </row>
    <row r="95" spans="1:8" s="86" customFormat="1">
      <c r="A95" s="125" t="s">
        <v>209</v>
      </c>
      <c r="B95" s="204">
        <v>1789.3275298539086</v>
      </c>
      <c r="C95" s="82">
        <v>1729.3232218204405</v>
      </c>
      <c r="D95" s="82">
        <v>1709.652686092378</v>
      </c>
      <c r="E95" s="205">
        <v>1829.0106646328684</v>
      </c>
      <c r="F95" s="82">
        <v>1805.5346197630154</v>
      </c>
      <c r="G95" s="82">
        <v>1422.3262144835951</v>
      </c>
      <c r="H95" s="82">
        <v>1455.998</v>
      </c>
    </row>
    <row r="96" spans="1:8" s="86" customFormat="1">
      <c r="A96" s="125" t="s">
        <v>166</v>
      </c>
      <c r="B96" s="204">
        <v>2135.596322553145</v>
      </c>
      <c r="C96" s="82">
        <v>1951.9010684602963</v>
      </c>
      <c r="D96" s="82">
        <v>2022.0993133892655</v>
      </c>
      <c r="E96" s="205">
        <v>2141.7557300638682</v>
      </c>
      <c r="F96" s="82">
        <v>2262.9637636934253</v>
      </c>
      <c r="G96" s="82">
        <v>2135.0059530004287</v>
      </c>
      <c r="H96" s="82">
        <v>2181.1885419499999</v>
      </c>
    </row>
    <row r="97" spans="1:9" s="86" customFormat="1" ht="12" customHeight="1">
      <c r="A97" s="125" t="s">
        <v>214</v>
      </c>
      <c r="B97" s="204">
        <v>534.25673871456274</v>
      </c>
      <c r="C97" s="82">
        <v>536.71396639084242</v>
      </c>
      <c r="D97" s="82">
        <v>537.6340844691598</v>
      </c>
      <c r="E97" s="205">
        <v>540.78817482842749</v>
      </c>
      <c r="F97" s="82">
        <v>591.68973439137062</v>
      </c>
      <c r="G97" s="82">
        <v>586.1997442773087</v>
      </c>
      <c r="H97" s="82">
        <v>607.31049145999998</v>
      </c>
    </row>
    <row r="98" spans="1:9" s="86" customFormat="1" ht="12" customHeight="1">
      <c r="A98" s="215"/>
      <c r="B98" s="69"/>
      <c r="C98" s="82"/>
      <c r="D98" s="82"/>
      <c r="E98" s="82"/>
      <c r="F98" s="82"/>
      <c r="G98" s="82"/>
      <c r="H98" s="82"/>
    </row>
    <row r="99" spans="1:9" ht="12" customHeight="1">
      <c r="A99" s="125"/>
      <c r="B99" s="69"/>
      <c r="C99" s="82"/>
      <c r="D99" s="82"/>
      <c r="E99" s="82"/>
      <c r="F99" s="82"/>
      <c r="G99" s="82"/>
      <c r="H99" s="82"/>
    </row>
    <row r="100" spans="1:9" ht="18">
      <c r="A100" s="65" t="s">
        <v>216</v>
      </c>
      <c r="B100" s="67"/>
      <c r="C100" s="199"/>
      <c r="D100" s="199"/>
      <c r="E100" s="199"/>
      <c r="F100" s="67"/>
      <c r="G100" s="67"/>
      <c r="H100" s="67"/>
    </row>
    <row r="101" spans="1:9">
      <c r="A101" s="68" t="s">
        <v>57</v>
      </c>
      <c r="B101" s="72"/>
      <c r="C101" s="200"/>
      <c r="D101" s="200"/>
      <c r="E101" s="200"/>
      <c r="F101" s="72"/>
      <c r="G101" s="72"/>
      <c r="H101" s="72"/>
    </row>
    <row r="102" spans="1:9" ht="15.75">
      <c r="A102" s="72"/>
      <c r="B102" s="59">
        <v>42825</v>
      </c>
      <c r="C102" s="59">
        <v>42916</v>
      </c>
      <c r="D102" s="59">
        <v>43008</v>
      </c>
      <c r="E102" s="59">
        <v>43100</v>
      </c>
      <c r="F102" s="59">
        <v>43190</v>
      </c>
      <c r="G102" s="59">
        <v>43281</v>
      </c>
      <c r="H102" s="59">
        <v>43373</v>
      </c>
    </row>
    <row r="103" spans="1:9">
      <c r="A103" s="125" t="s">
        <v>218</v>
      </c>
      <c r="B103" s="214">
        <v>12768.101497870819</v>
      </c>
      <c r="C103" s="69">
        <v>12766.988150498037</v>
      </c>
      <c r="D103" s="69">
        <v>13401.608944001666</v>
      </c>
      <c r="E103" s="69">
        <v>13541.026742274284</v>
      </c>
      <c r="F103" s="214">
        <v>13493.550933578068</v>
      </c>
      <c r="G103" s="69">
        <v>13915.220486755037</v>
      </c>
      <c r="H103" s="69">
        <v>14145.271999999997</v>
      </c>
    </row>
    <row r="104" spans="1:9">
      <c r="A104" s="125" t="s">
        <v>549</v>
      </c>
      <c r="B104" s="214">
        <v>12239.206161205004</v>
      </c>
      <c r="C104" s="69">
        <v>11902.427322905789</v>
      </c>
      <c r="D104" s="69">
        <v>12547.562941072381</v>
      </c>
      <c r="E104" s="69">
        <v>12415.474687076801</v>
      </c>
      <c r="F104" s="214">
        <v>12256.443756451306</v>
      </c>
      <c r="G104" s="69">
        <v>12068.777932281329</v>
      </c>
      <c r="H104" s="69">
        <v>13006.363069049999</v>
      </c>
    </row>
    <row r="105" spans="1:9">
      <c r="A105" s="125" t="s">
        <v>226</v>
      </c>
      <c r="B105" s="214">
        <v>1455.8452971866209</v>
      </c>
      <c r="C105" s="69">
        <v>1498.6081972265699</v>
      </c>
      <c r="D105" s="69">
        <v>1553.0832930421889</v>
      </c>
      <c r="E105" s="69">
        <v>1608.6540438991549</v>
      </c>
      <c r="F105" s="214">
        <v>1687.3745847082323</v>
      </c>
      <c r="G105" s="69">
        <v>1697.6484442800001</v>
      </c>
      <c r="H105" s="69">
        <v>1697.6484442800001</v>
      </c>
    </row>
    <row r="106" spans="1:9">
      <c r="A106" s="125" t="s">
        <v>377</v>
      </c>
      <c r="B106" s="214">
        <v>0</v>
      </c>
      <c r="C106" s="69">
        <v>0</v>
      </c>
      <c r="D106" s="69">
        <v>0</v>
      </c>
      <c r="E106" s="69">
        <v>0</v>
      </c>
      <c r="F106" s="214">
        <v>0</v>
      </c>
      <c r="G106" s="82">
        <v>0</v>
      </c>
      <c r="H106" s="69">
        <v>0</v>
      </c>
    </row>
    <row r="107" spans="1:9">
      <c r="A107" s="125" t="s">
        <v>540</v>
      </c>
      <c r="B107" s="214">
        <v>0</v>
      </c>
      <c r="C107" s="69">
        <v>0</v>
      </c>
      <c r="D107" s="69">
        <v>0</v>
      </c>
      <c r="E107" s="69">
        <v>0</v>
      </c>
      <c r="F107" s="214">
        <v>0</v>
      </c>
      <c r="G107" s="82">
        <v>0</v>
      </c>
      <c r="H107" s="69">
        <v>0</v>
      </c>
    </row>
    <row r="108" spans="1:9">
      <c r="A108" s="215" t="s">
        <v>538</v>
      </c>
      <c r="B108" s="212"/>
      <c r="C108" s="216"/>
      <c r="D108" s="216"/>
      <c r="E108" s="216"/>
      <c r="F108" s="216"/>
      <c r="G108" s="72"/>
      <c r="H108" s="72"/>
    </row>
    <row r="109" spans="1:9">
      <c r="A109" s="215" t="s">
        <v>500</v>
      </c>
      <c r="B109" s="212"/>
      <c r="C109" s="216"/>
      <c r="D109" s="216"/>
      <c r="E109" s="216"/>
      <c r="F109" s="216"/>
      <c r="G109" s="72"/>
      <c r="H109" s="72"/>
    </row>
    <row r="110" spans="1:9">
      <c r="A110" s="215"/>
      <c r="B110" s="212"/>
      <c r="C110" s="216"/>
      <c r="D110" s="216"/>
      <c r="E110" s="216"/>
      <c r="F110" s="216"/>
      <c r="G110" s="72"/>
      <c r="H110" s="72"/>
    </row>
    <row r="111" spans="1:9" s="229" customFormat="1" ht="18">
      <c r="A111" s="65" t="s">
        <v>179</v>
      </c>
      <c r="B111" s="67"/>
      <c r="C111" s="199"/>
      <c r="D111" s="199"/>
      <c r="E111" s="199"/>
      <c r="F111" s="67"/>
      <c r="G111" s="67"/>
      <c r="H111" s="67"/>
      <c r="I111" s="311"/>
    </row>
    <row r="112" spans="1:9" ht="15.75" customHeight="1">
      <c r="A112" s="68" t="s">
        <v>583</v>
      </c>
      <c r="B112" s="72"/>
      <c r="C112" s="200"/>
      <c r="D112" s="200"/>
      <c r="E112" s="200"/>
      <c r="F112" s="72"/>
      <c r="G112" s="72"/>
      <c r="H112" s="72"/>
    </row>
    <row r="113" spans="1:8">
      <c r="A113" s="201"/>
      <c r="B113" s="72"/>
      <c r="C113" s="200"/>
      <c r="D113" s="200"/>
      <c r="E113" s="200"/>
      <c r="F113" s="72"/>
      <c r="G113" s="212"/>
      <c r="H113" s="212"/>
    </row>
    <row r="114" spans="1:8" ht="15.75">
      <c r="A114" s="73"/>
      <c r="B114" s="315">
        <v>2017</v>
      </c>
      <c r="C114" s="316"/>
      <c r="D114" s="316"/>
      <c r="E114" s="316"/>
      <c r="F114" s="315">
        <v>2018</v>
      </c>
      <c r="G114" s="316"/>
      <c r="H114" s="316"/>
    </row>
    <row r="115" spans="1:8" ht="15.75">
      <c r="A115" s="73"/>
      <c r="B115" s="93" t="s">
        <v>751</v>
      </c>
      <c r="C115" s="93" t="s">
        <v>65</v>
      </c>
      <c r="D115" s="93" t="s">
        <v>752</v>
      </c>
      <c r="E115" s="93" t="s">
        <v>69</v>
      </c>
      <c r="F115" s="93" t="s">
        <v>751</v>
      </c>
      <c r="G115" s="93" t="s">
        <v>65</v>
      </c>
      <c r="H115" s="93" t="s">
        <v>752</v>
      </c>
    </row>
    <row r="116" spans="1:8">
      <c r="A116" s="139" t="s">
        <v>71</v>
      </c>
      <c r="B116" s="202">
        <v>700.90013869542986</v>
      </c>
      <c r="C116" s="77">
        <v>696.3236692822245</v>
      </c>
      <c r="D116" s="77">
        <v>713.00648836145115</v>
      </c>
      <c r="E116" s="203">
        <v>718.52530299972739</v>
      </c>
      <c r="F116" s="139">
        <v>718.02563837321247</v>
      </c>
      <c r="G116" s="139">
        <v>759.50505696864161</v>
      </c>
      <c r="H116" s="139">
        <v>804.37236749240708</v>
      </c>
    </row>
    <row r="117" spans="1:8">
      <c r="A117" s="125" t="s">
        <v>73</v>
      </c>
      <c r="B117" s="204">
        <v>197.11947986588928</v>
      </c>
      <c r="C117" s="82">
        <v>197.79241338256082</v>
      </c>
      <c r="D117" s="82">
        <v>214.93327809247259</v>
      </c>
      <c r="E117" s="205">
        <v>219.54181847283883</v>
      </c>
      <c r="F117" s="216">
        <v>193.40005251808293</v>
      </c>
      <c r="G117" s="216">
        <v>218.16546918482072</v>
      </c>
      <c r="H117" s="216">
        <v>204.06552915736208</v>
      </c>
    </row>
    <row r="118" spans="1:8">
      <c r="A118" s="125" t="s">
        <v>75</v>
      </c>
      <c r="B118" s="204">
        <v>134.4859371653356</v>
      </c>
      <c r="C118" s="82">
        <v>144.95818596972023</v>
      </c>
      <c r="D118" s="82">
        <v>142.09435333373651</v>
      </c>
      <c r="E118" s="205">
        <v>132.30479141050421</v>
      </c>
      <c r="F118" s="216">
        <v>138.32309681629013</v>
      </c>
      <c r="G118" s="216">
        <v>139.5367177539751</v>
      </c>
      <c r="H118" s="216">
        <v>118.09352295695288</v>
      </c>
    </row>
    <row r="119" spans="1:8">
      <c r="A119" s="125" t="s">
        <v>182</v>
      </c>
      <c r="B119" s="204">
        <v>-21.348527651592043</v>
      </c>
      <c r="C119" s="82">
        <v>-18.600006907254947</v>
      </c>
      <c r="D119" s="82">
        <v>-10.167052594582014</v>
      </c>
      <c r="E119" s="205">
        <v>-12.172509672896918</v>
      </c>
      <c r="F119" s="216">
        <v>-11.613657884476135</v>
      </c>
      <c r="G119" s="216">
        <v>-20.134994035849605</v>
      </c>
      <c r="H119" s="216">
        <v>-14.573648769522855</v>
      </c>
    </row>
    <row r="120" spans="1:8">
      <c r="A120" s="139" t="s">
        <v>83</v>
      </c>
      <c r="B120" s="202">
        <v>1011.1570280750627</v>
      </c>
      <c r="C120" s="77">
        <v>1020.4742617272507</v>
      </c>
      <c r="D120" s="77">
        <v>1059.8670671930781</v>
      </c>
      <c r="E120" s="203">
        <v>1058.1994032101736</v>
      </c>
      <c r="F120" s="139">
        <v>1038.1351298231093</v>
      </c>
      <c r="G120" s="139">
        <v>1097.0722498715877</v>
      </c>
      <c r="H120" s="139">
        <v>1111.9577708371994</v>
      </c>
    </row>
    <row r="121" spans="1:8">
      <c r="A121" s="125" t="s">
        <v>85</v>
      </c>
      <c r="B121" s="204">
        <v>-378.4018224642499</v>
      </c>
      <c r="C121" s="82">
        <v>-358.83131748321784</v>
      </c>
      <c r="D121" s="82">
        <v>-364.74023845645195</v>
      </c>
      <c r="E121" s="205">
        <v>-373.45220510519687</v>
      </c>
      <c r="F121" s="216">
        <v>-385.44194495945766</v>
      </c>
      <c r="G121" s="216">
        <v>-385.02095863908971</v>
      </c>
      <c r="H121" s="216">
        <v>-390.1471858753215</v>
      </c>
    </row>
    <row r="122" spans="1:8">
      <c r="A122" s="125" t="s">
        <v>87</v>
      </c>
      <c r="B122" s="204">
        <v>-348.02741808815188</v>
      </c>
      <c r="C122" s="82">
        <v>-327.30145154919194</v>
      </c>
      <c r="D122" s="82">
        <v>-331.70549970157242</v>
      </c>
      <c r="E122" s="205">
        <v>-339.59253952241147</v>
      </c>
      <c r="F122" s="216">
        <v>-349.16070266807782</v>
      </c>
      <c r="G122" s="216">
        <v>-347.06349257158951</v>
      </c>
      <c r="H122" s="216">
        <v>-350.8549679050451</v>
      </c>
    </row>
    <row r="123" spans="1:8">
      <c r="A123" s="227" t="s">
        <v>89</v>
      </c>
      <c r="B123" s="204">
        <v>-194.97854154563336</v>
      </c>
      <c r="C123" s="82">
        <v>-176.01715705740867</v>
      </c>
      <c r="D123" s="82">
        <v>-186.14475282976647</v>
      </c>
      <c r="E123" s="205">
        <v>-184.73651758144183</v>
      </c>
      <c r="F123" s="216">
        <v>-191.60745120194792</v>
      </c>
      <c r="G123" s="216">
        <v>-189.8322821691159</v>
      </c>
      <c r="H123" s="216">
        <v>-192.67732926064434</v>
      </c>
    </row>
    <row r="124" spans="1:8">
      <c r="A124" s="227" t="s">
        <v>91</v>
      </c>
      <c r="B124" s="204">
        <v>-153.04887654251851</v>
      </c>
      <c r="C124" s="82">
        <v>-151.2842944917833</v>
      </c>
      <c r="D124" s="82">
        <v>-145.56074687180597</v>
      </c>
      <c r="E124" s="205">
        <v>-154.85602194096964</v>
      </c>
      <c r="F124" s="216">
        <v>-157.55325146612986</v>
      </c>
      <c r="G124" s="216">
        <v>-157.23121040247361</v>
      </c>
      <c r="H124" s="216">
        <v>-158.17763864440079</v>
      </c>
    </row>
    <row r="125" spans="1:8">
      <c r="A125" s="125" t="s">
        <v>93</v>
      </c>
      <c r="B125" s="204">
        <v>-30.374404376098049</v>
      </c>
      <c r="C125" s="82">
        <v>-31.529865934025906</v>
      </c>
      <c r="D125" s="82">
        <v>-33.03473875487947</v>
      </c>
      <c r="E125" s="205">
        <v>-33.859665582785382</v>
      </c>
      <c r="F125" s="216">
        <v>-36.281242291379868</v>
      </c>
      <c r="G125" s="216">
        <v>-37.957466067500164</v>
      </c>
      <c r="H125" s="216">
        <v>-39.292217970276297</v>
      </c>
    </row>
    <row r="126" spans="1:8">
      <c r="A126" s="139" t="s">
        <v>95</v>
      </c>
      <c r="B126" s="202">
        <v>632.75520561081282</v>
      </c>
      <c r="C126" s="77">
        <v>661.64294424403272</v>
      </c>
      <c r="D126" s="77">
        <v>695.12682873662629</v>
      </c>
      <c r="E126" s="203">
        <v>684.74719810497663</v>
      </c>
      <c r="F126" s="139">
        <v>652.69318486365171</v>
      </c>
      <c r="G126" s="139">
        <v>712.0512912324981</v>
      </c>
      <c r="H126" s="139">
        <v>721.81058496187779</v>
      </c>
    </row>
    <row r="127" spans="1:8">
      <c r="A127" s="125" t="s">
        <v>97</v>
      </c>
      <c r="B127" s="204">
        <v>-147.47282287022193</v>
      </c>
      <c r="C127" s="82">
        <v>-198.56936490559841</v>
      </c>
      <c r="D127" s="82">
        <v>-197.38913766289096</v>
      </c>
      <c r="E127" s="205">
        <v>-18.976410690959781</v>
      </c>
      <c r="F127" s="216">
        <v>-205.98228708293891</v>
      </c>
      <c r="G127" s="216">
        <v>-127.40606983196301</v>
      </c>
      <c r="H127" s="216">
        <v>-212.89304362186334</v>
      </c>
    </row>
    <row r="128" spans="1:8">
      <c r="A128" s="125" t="s">
        <v>291</v>
      </c>
      <c r="B128" s="204">
        <v>-28.274551435950919</v>
      </c>
      <c r="C128" s="82">
        <v>-21.528187750119908</v>
      </c>
      <c r="D128" s="82">
        <v>1.7407724365324444</v>
      </c>
      <c r="E128" s="205">
        <v>-108.54178967898305</v>
      </c>
      <c r="F128" s="216">
        <v>-0.50926625872317377</v>
      </c>
      <c r="G128" s="216">
        <v>-10.27930135749464</v>
      </c>
      <c r="H128" s="216">
        <v>-5.3299726781850882</v>
      </c>
    </row>
    <row r="129" spans="1:8">
      <c r="A129" s="139" t="s">
        <v>103</v>
      </c>
      <c r="B129" s="202">
        <v>457.00783130463992</v>
      </c>
      <c r="C129" s="77">
        <v>441.54539158831443</v>
      </c>
      <c r="D129" s="77">
        <v>499.47846351026783</v>
      </c>
      <c r="E129" s="203">
        <v>557.22899773503389</v>
      </c>
      <c r="F129" s="139">
        <v>446.20163152198973</v>
      </c>
      <c r="G129" s="139">
        <v>574.36592004304043</v>
      </c>
      <c r="H129" s="139">
        <v>503.58756866182938</v>
      </c>
    </row>
    <row r="130" spans="1:8">
      <c r="A130" s="125" t="s">
        <v>105</v>
      </c>
      <c r="B130" s="204">
        <v>-128.1685895973178</v>
      </c>
      <c r="C130" s="82">
        <v>-114.41467331506129</v>
      </c>
      <c r="D130" s="82">
        <v>-134.57001451888829</v>
      </c>
      <c r="E130" s="205">
        <v>-150.61093242659649</v>
      </c>
      <c r="F130" s="216">
        <v>-132.24016316413494</v>
      </c>
      <c r="G130" s="216">
        <v>-164.67763608597122</v>
      </c>
      <c r="H130" s="216">
        <v>-146.53854272159106</v>
      </c>
    </row>
    <row r="131" spans="1:8">
      <c r="A131" s="139" t="s">
        <v>107</v>
      </c>
      <c r="B131" s="202">
        <v>328.83924170732217</v>
      </c>
      <c r="C131" s="77">
        <v>327.13071827325314</v>
      </c>
      <c r="D131" s="77">
        <v>364.90844899137954</v>
      </c>
      <c r="E131" s="203">
        <v>406.61806530843734</v>
      </c>
      <c r="F131" s="139">
        <v>313.96146835785476</v>
      </c>
      <c r="G131" s="139">
        <v>409.6882839570693</v>
      </c>
      <c r="H131" s="139">
        <v>357.04902594023838</v>
      </c>
    </row>
    <row r="132" spans="1:8">
      <c r="A132" s="125" t="s">
        <v>109</v>
      </c>
      <c r="B132" s="204">
        <v>-177.61572983964106</v>
      </c>
      <c r="C132" s="82">
        <v>-176.0792615290658</v>
      </c>
      <c r="D132" s="82">
        <v>-194.78007431076861</v>
      </c>
      <c r="E132" s="205">
        <v>-217.01794189301904</v>
      </c>
      <c r="F132" s="216">
        <v>-169.33663450597197</v>
      </c>
      <c r="G132" s="216">
        <v>-220.54789177961658</v>
      </c>
      <c r="H132" s="216">
        <v>-191.44106682449518</v>
      </c>
    </row>
    <row r="133" spans="1:8">
      <c r="A133" s="206" t="s">
        <v>111</v>
      </c>
      <c r="B133" s="207">
        <v>151.22351186768105</v>
      </c>
      <c r="C133" s="208">
        <v>151.05145674418736</v>
      </c>
      <c r="D133" s="208">
        <v>170.12837468061096</v>
      </c>
      <c r="E133" s="209">
        <v>189.60012341541827</v>
      </c>
      <c r="F133" s="206">
        <v>144.62483385188284</v>
      </c>
      <c r="G133" s="206">
        <v>189.14039217745278</v>
      </c>
      <c r="H133" s="206">
        <v>165.6079591157432</v>
      </c>
    </row>
    <row r="134" spans="1:8">
      <c r="A134" s="215"/>
      <c r="B134" s="77"/>
      <c r="C134" s="77"/>
      <c r="D134" s="77"/>
      <c r="E134" s="77"/>
      <c r="F134" s="139"/>
      <c r="G134" s="139"/>
      <c r="H134" s="139"/>
    </row>
    <row r="135" spans="1:8">
      <c r="A135" s="139"/>
      <c r="B135" s="77"/>
      <c r="C135" s="77"/>
      <c r="D135" s="77"/>
      <c r="E135" s="77"/>
      <c r="F135" s="139"/>
      <c r="G135" s="139"/>
      <c r="H135" s="139"/>
    </row>
    <row r="136" spans="1:8" ht="18">
      <c r="A136" s="65" t="s">
        <v>181</v>
      </c>
      <c r="B136" s="67"/>
      <c r="C136" s="199"/>
      <c r="D136" s="199"/>
      <c r="E136" s="199"/>
      <c r="F136" s="67"/>
      <c r="G136" s="67"/>
      <c r="H136" s="67"/>
    </row>
    <row r="137" spans="1:8">
      <c r="A137" s="68" t="s">
        <v>583</v>
      </c>
      <c r="B137" s="72"/>
      <c r="C137" s="200"/>
      <c r="D137" s="200"/>
      <c r="E137" s="200"/>
      <c r="F137" s="72"/>
      <c r="G137" s="72"/>
      <c r="H137" s="72"/>
    </row>
    <row r="138" spans="1:8" ht="15.75">
      <c r="A138" s="72"/>
      <c r="B138" s="59">
        <v>42825</v>
      </c>
      <c r="C138" s="59">
        <v>42916</v>
      </c>
      <c r="D138" s="59">
        <v>43008</v>
      </c>
      <c r="E138" s="59">
        <v>43100</v>
      </c>
      <c r="F138" s="59">
        <v>43190</v>
      </c>
      <c r="G138" s="59">
        <v>43281</v>
      </c>
      <c r="H138" s="59">
        <v>43373</v>
      </c>
    </row>
    <row r="139" spans="1:8" s="86" customFormat="1">
      <c r="A139" s="125" t="s">
        <v>120</v>
      </c>
      <c r="B139" s="204">
        <v>10736.89310946086</v>
      </c>
      <c r="C139" s="82">
        <v>10834.730941869841</v>
      </c>
      <c r="D139" s="82">
        <v>9570.1280523777041</v>
      </c>
      <c r="E139" s="205">
        <v>10933.742421772509</v>
      </c>
      <c r="F139" s="228">
        <v>10500.936720642459</v>
      </c>
      <c r="G139" s="82">
        <v>9781.5593256557604</v>
      </c>
      <c r="H139" s="82">
        <v>8804.3640802624559</v>
      </c>
    </row>
    <row r="140" spans="1:8" s="86" customFormat="1">
      <c r="A140" s="125" t="s">
        <v>192</v>
      </c>
      <c r="B140" s="204">
        <v>6765.8751936424005</v>
      </c>
      <c r="C140" s="82">
        <v>6198.7266233333994</v>
      </c>
      <c r="D140" s="82">
        <v>7673.0789251465994</v>
      </c>
      <c r="E140" s="205">
        <v>8176.2689892332992</v>
      </c>
      <c r="F140" s="228">
        <v>8749.6430119844554</v>
      </c>
      <c r="G140" s="82">
        <v>7061.2259694270815</v>
      </c>
      <c r="H140" s="82">
        <v>9075.6351567864513</v>
      </c>
    </row>
    <row r="141" spans="1:8" s="86" customFormat="1">
      <c r="A141" s="125" t="s">
        <v>705</v>
      </c>
      <c r="B141" s="204">
        <v>54850.046234275149</v>
      </c>
      <c r="C141" s="82">
        <v>53353.047734927612</v>
      </c>
      <c r="D141" s="82">
        <v>56757.730012092979</v>
      </c>
      <c r="E141" s="205">
        <v>55068.202143766677</v>
      </c>
      <c r="F141" s="228">
        <v>55321.28523640761</v>
      </c>
      <c r="G141" s="82">
        <v>53972.666773511606</v>
      </c>
      <c r="H141" s="82">
        <v>53233.096818493941</v>
      </c>
    </row>
    <row r="142" spans="1:8" s="86" customFormat="1">
      <c r="A142" s="125" t="s">
        <v>195</v>
      </c>
      <c r="B142" s="204">
        <v>46462.014890276128</v>
      </c>
      <c r="C142" s="82">
        <v>46347.331589960842</v>
      </c>
      <c r="D142" s="82">
        <v>48722.742138703274</v>
      </c>
      <c r="E142" s="205">
        <v>49418.23668728763</v>
      </c>
      <c r="F142" s="228">
        <v>49693.499437172097</v>
      </c>
      <c r="G142" s="82">
        <v>50549.274599140655</v>
      </c>
      <c r="H142" s="82">
        <v>51337.262531471737</v>
      </c>
    </row>
    <row r="143" spans="1:8" s="86" customFormat="1">
      <c r="A143" s="125" t="s">
        <v>140</v>
      </c>
      <c r="B143" s="204">
        <v>867.22912657779386</v>
      </c>
      <c r="C143" s="82">
        <v>858.3423919071812</v>
      </c>
      <c r="D143" s="82">
        <v>868.68558340755828</v>
      </c>
      <c r="E143" s="205">
        <v>907.95510118534753</v>
      </c>
      <c r="F143" s="228">
        <v>880.74810368761666</v>
      </c>
      <c r="G143" s="82">
        <v>866.61553372865933</v>
      </c>
      <c r="H143" s="82">
        <v>869.79858091096378</v>
      </c>
    </row>
    <row r="144" spans="1:8" s="86" customFormat="1">
      <c r="A144" s="125" t="s">
        <v>144</v>
      </c>
      <c r="B144" s="204">
        <v>2529.4330058837809</v>
      </c>
      <c r="C144" s="82">
        <v>1874.5797594116975</v>
      </c>
      <c r="D144" s="82">
        <v>1697.1757204826126</v>
      </c>
      <c r="E144" s="205">
        <v>1302.2895122765105</v>
      </c>
      <c r="F144" s="228">
        <v>1154.5768051263083</v>
      </c>
      <c r="G144" s="82">
        <v>1073.7726186932875</v>
      </c>
      <c r="H144" s="82">
        <v>1152.5787747005404</v>
      </c>
    </row>
    <row r="145" spans="1:8">
      <c r="A145" s="206" t="s">
        <v>201</v>
      </c>
      <c r="B145" s="207">
        <v>75749.476669839976</v>
      </c>
      <c r="C145" s="208">
        <v>73119.427451449737</v>
      </c>
      <c r="D145" s="208">
        <v>76566.798293507454</v>
      </c>
      <c r="E145" s="209">
        <v>76388.458168234341</v>
      </c>
      <c r="F145" s="207">
        <v>76607.189877848461</v>
      </c>
      <c r="G145" s="208">
        <v>72755.840221016406</v>
      </c>
      <c r="H145" s="208">
        <v>73136.62559475853</v>
      </c>
    </row>
    <row r="146" spans="1:8">
      <c r="A146" s="125" t="s">
        <v>207</v>
      </c>
      <c r="B146" s="204">
        <v>560.79151933644096</v>
      </c>
      <c r="C146" s="82">
        <v>504.31114167609502</v>
      </c>
      <c r="D146" s="82">
        <v>446.34794310325549</v>
      </c>
      <c r="E146" s="205">
        <v>382.36572661714138</v>
      </c>
      <c r="F146" s="228">
        <v>370.7186298024335</v>
      </c>
      <c r="G146" s="82">
        <v>341.65197548671688</v>
      </c>
      <c r="H146" s="82">
        <v>371.21004043640801</v>
      </c>
    </row>
    <row r="147" spans="1:8" s="86" customFormat="1">
      <c r="A147" s="125" t="s">
        <v>203</v>
      </c>
      <c r="B147" s="204">
        <v>11417.638640926427</v>
      </c>
      <c r="C147" s="82">
        <v>9864.1768529405254</v>
      </c>
      <c r="D147" s="82">
        <v>10069.752108179389</v>
      </c>
      <c r="E147" s="205">
        <v>10386.289715345862</v>
      </c>
      <c r="F147" s="228">
        <v>10686.868807401486</v>
      </c>
      <c r="G147" s="82">
        <v>10568.193786203265</v>
      </c>
      <c r="H147" s="82">
        <v>6954.0245670252552</v>
      </c>
    </row>
    <row r="148" spans="1:8" s="86" customFormat="1">
      <c r="A148" s="125" t="s">
        <v>205</v>
      </c>
      <c r="B148" s="204">
        <v>46760.362901265013</v>
      </c>
      <c r="C148" s="82">
        <v>46660.536441466909</v>
      </c>
      <c r="D148" s="82">
        <v>49764.034305110894</v>
      </c>
      <c r="E148" s="205">
        <v>48409.325236140103</v>
      </c>
      <c r="F148" s="228">
        <v>47772.124307403486</v>
      </c>
      <c r="G148" s="82">
        <v>46039.433416519751</v>
      </c>
      <c r="H148" s="82">
        <v>49619.672693980319</v>
      </c>
    </row>
    <row r="149" spans="1:8" s="86" customFormat="1">
      <c r="A149" s="125" t="s">
        <v>209</v>
      </c>
      <c r="B149" s="204">
        <v>6825.8469896006281</v>
      </c>
      <c r="C149" s="82">
        <v>6596.9452270559268</v>
      </c>
      <c r="D149" s="82">
        <v>6521.9069432073629</v>
      </c>
      <c r="E149" s="205">
        <v>6977.2284452310541</v>
      </c>
      <c r="F149" s="228">
        <v>6887.6730745518253</v>
      </c>
      <c r="G149" s="82">
        <v>5425.8267127626286</v>
      </c>
      <c r="H149" s="82">
        <v>5554.2763408865503</v>
      </c>
    </row>
    <row r="150" spans="1:8" s="86" customFormat="1">
      <c r="A150" s="125" t="s">
        <v>166</v>
      </c>
      <c r="B150" s="204">
        <v>8146.7777620856996</v>
      </c>
      <c r="C150" s="82">
        <v>7446.0252859552011</v>
      </c>
      <c r="D150" s="82">
        <v>7713.8144250754012</v>
      </c>
      <c r="E150" s="205">
        <v>8170.2743956048998</v>
      </c>
      <c r="F150" s="228">
        <v>8632.6534054071308</v>
      </c>
      <c r="G150" s="82">
        <v>8144.5256466027213</v>
      </c>
      <c r="H150" s="82">
        <v>8320.7009306096097</v>
      </c>
    </row>
    <row r="151" spans="1:8" s="86" customFormat="1">
      <c r="A151" s="125" t="s">
        <v>214</v>
      </c>
      <c r="B151" s="204">
        <v>2038.058818625783</v>
      </c>
      <c r="C151" s="82">
        <v>2047.432541355163</v>
      </c>
      <c r="D151" s="82">
        <v>2050.9425668313111</v>
      </c>
      <c r="E151" s="205">
        <v>2062.9746502953672</v>
      </c>
      <c r="F151" s="228">
        <v>2257.1516532821038</v>
      </c>
      <c r="G151" s="82">
        <v>2236.208683441323</v>
      </c>
      <c r="H151" s="82">
        <v>2316.7410218204009</v>
      </c>
    </row>
    <row r="152" spans="1:8">
      <c r="A152" s="215"/>
      <c r="B152" s="69"/>
      <c r="C152" s="82"/>
      <c r="D152" s="82"/>
      <c r="E152" s="82"/>
      <c r="F152" s="82"/>
      <c r="G152" s="82"/>
      <c r="H152" s="82"/>
    </row>
    <row r="153" spans="1:8">
      <c r="A153" s="125"/>
      <c r="B153" s="69"/>
      <c r="C153" s="82"/>
      <c r="D153" s="82"/>
      <c r="E153" s="82"/>
      <c r="F153" s="82"/>
      <c r="G153" s="82"/>
      <c r="H153" s="82"/>
    </row>
    <row r="154" spans="1:8" ht="18">
      <c r="A154" s="65" t="s">
        <v>216</v>
      </c>
      <c r="B154" s="67"/>
      <c r="C154" s="199"/>
      <c r="D154" s="199"/>
      <c r="E154" s="199"/>
      <c r="F154" s="67"/>
      <c r="G154" s="67"/>
      <c r="H154" s="67"/>
    </row>
    <row r="155" spans="1:8">
      <c r="A155" s="68" t="s">
        <v>583</v>
      </c>
      <c r="B155" s="72"/>
      <c r="C155" s="200"/>
      <c r="D155" s="200"/>
      <c r="E155" s="200"/>
      <c r="F155" s="72"/>
      <c r="G155" s="72"/>
      <c r="H155" s="72"/>
    </row>
    <row r="156" spans="1:8" ht="15.75">
      <c r="A156" s="72"/>
      <c r="B156" s="59">
        <v>42825</v>
      </c>
      <c r="C156" s="59">
        <v>42916</v>
      </c>
      <c r="D156" s="59">
        <v>43008</v>
      </c>
      <c r="E156" s="59">
        <v>43100</v>
      </c>
      <c r="F156" s="59">
        <v>43190</v>
      </c>
      <c r="G156" s="59">
        <v>43281</v>
      </c>
      <c r="H156" s="59">
        <v>43373</v>
      </c>
    </row>
    <row r="157" spans="1:8">
      <c r="A157" s="125" t="s">
        <v>218</v>
      </c>
      <c r="B157" s="214">
        <v>48707.185083813303</v>
      </c>
      <c r="C157" s="69">
        <v>48702.937935828326</v>
      </c>
      <c r="D157" s="69">
        <v>51123.861081871008</v>
      </c>
      <c r="E157" s="69">
        <v>51655.705891028781</v>
      </c>
      <c r="F157" s="214">
        <v>51474.597289914047</v>
      </c>
      <c r="G157" s="69">
        <v>53083.163526188458</v>
      </c>
      <c r="H157" s="69">
        <v>53960.753795681703</v>
      </c>
    </row>
    <row r="158" spans="1:8">
      <c r="A158" s="125" t="s">
        <v>549</v>
      </c>
      <c r="B158" s="214">
        <v>46689.578703002233</v>
      </c>
      <c r="C158" s="69">
        <v>45404.849786014303</v>
      </c>
      <c r="D158" s="69">
        <v>47865.884417000008</v>
      </c>
      <c r="E158" s="69">
        <v>47362.000026996269</v>
      </c>
      <c r="F158" s="214">
        <v>46755.335913829658</v>
      </c>
      <c r="G158" s="69">
        <v>46039.436683761844</v>
      </c>
      <c r="H158" s="69">
        <v>49616.094716754407</v>
      </c>
    </row>
    <row r="159" spans="1:8">
      <c r="A159" s="125" t="s">
        <v>226</v>
      </c>
      <c r="B159" s="214">
        <v>5553.6938169932901</v>
      </c>
      <c r="C159" s="69">
        <v>5716.8238240122455</v>
      </c>
      <c r="D159" s="69">
        <v>5924.6329939810366</v>
      </c>
      <c r="E159" s="69">
        <v>6136.6218200166131</v>
      </c>
      <c r="F159" s="214">
        <v>6436.9214339979872</v>
      </c>
      <c r="G159" s="69">
        <v>6476.1136960402846</v>
      </c>
      <c r="H159" s="82">
        <v>6476.1136960402846</v>
      </c>
    </row>
    <row r="160" spans="1:8">
      <c r="A160" s="125" t="s">
        <v>377</v>
      </c>
      <c r="B160" s="214">
        <v>0</v>
      </c>
      <c r="C160" s="82">
        <v>0</v>
      </c>
      <c r="D160" s="82">
        <v>0</v>
      </c>
      <c r="E160" s="82">
        <v>0</v>
      </c>
      <c r="F160" s="213">
        <v>0</v>
      </c>
      <c r="G160" s="82">
        <v>0</v>
      </c>
      <c r="H160" s="82">
        <v>0</v>
      </c>
    </row>
    <row r="161" spans="1:8">
      <c r="A161" s="125" t="s">
        <v>540</v>
      </c>
      <c r="B161" s="214">
        <v>0</v>
      </c>
      <c r="C161" s="82">
        <v>0</v>
      </c>
      <c r="D161" s="82">
        <v>0</v>
      </c>
      <c r="E161" s="82">
        <v>0</v>
      </c>
      <c r="F161" s="213">
        <v>0</v>
      </c>
      <c r="G161" s="82">
        <v>0</v>
      </c>
      <c r="H161" s="82">
        <v>0</v>
      </c>
    </row>
    <row r="162" spans="1:8">
      <c r="A162" s="215" t="s">
        <v>538</v>
      </c>
      <c r="B162" s="212"/>
      <c r="C162" s="216"/>
      <c r="D162" s="216"/>
      <c r="E162" s="216"/>
      <c r="F162" s="216"/>
      <c r="G162" s="72"/>
      <c r="H162" s="72"/>
    </row>
    <row r="163" spans="1:8">
      <c r="A163" s="215" t="s">
        <v>500</v>
      </c>
      <c r="B163" s="212"/>
      <c r="C163" s="216"/>
      <c r="D163" s="216"/>
      <c r="E163" s="216"/>
      <c r="F163" s="216"/>
      <c r="G163" s="72"/>
      <c r="H163" s="72"/>
    </row>
    <row r="164" spans="1:8">
      <c r="A164" s="72"/>
      <c r="B164" s="72"/>
      <c r="C164" s="72"/>
      <c r="D164" s="72"/>
      <c r="E164" s="72"/>
      <c r="F164" s="72"/>
      <c r="G164" s="72"/>
      <c r="H164" s="72"/>
    </row>
    <row r="165" spans="1:8">
      <c r="A165" s="72"/>
      <c r="B165" s="72"/>
      <c r="C165" s="72"/>
      <c r="D165" s="72"/>
      <c r="E165" s="72"/>
      <c r="F165" s="72"/>
      <c r="G165" s="72"/>
      <c r="H165" s="72"/>
    </row>
    <row r="166" spans="1:8">
      <c r="A166" s="72"/>
      <c r="B166" s="72"/>
      <c r="C166" s="72"/>
      <c r="D166" s="72"/>
      <c r="E166" s="72"/>
      <c r="F166" s="72"/>
      <c r="G166" s="72"/>
      <c r="H166" s="72"/>
    </row>
    <row r="167" spans="1:8">
      <c r="A167" s="72"/>
      <c r="B167" s="72"/>
      <c r="C167" s="72"/>
      <c r="D167" s="72"/>
      <c r="E167" s="72"/>
      <c r="F167" s="72"/>
      <c r="G167" s="72"/>
      <c r="H167" s="72"/>
    </row>
    <row r="168" spans="1:8">
      <c r="A168" s="72"/>
      <c r="B168" s="72"/>
      <c r="C168" s="72"/>
      <c r="D168" s="72"/>
      <c r="E168" s="72"/>
      <c r="F168" s="72"/>
      <c r="G168" s="72"/>
      <c r="H168" s="72"/>
    </row>
    <row r="169" spans="1:8">
      <c r="A169" s="72"/>
      <c r="B169" s="72"/>
      <c r="C169" s="72"/>
      <c r="D169" s="72"/>
      <c r="E169" s="72"/>
      <c r="F169" s="72"/>
      <c r="G169" s="72"/>
      <c r="H169" s="72"/>
    </row>
    <row r="170" spans="1:8">
      <c r="A170" s="72"/>
      <c r="B170" s="72"/>
      <c r="C170" s="72"/>
      <c r="D170" s="72"/>
      <c r="E170" s="72"/>
      <c r="F170" s="72"/>
      <c r="G170" s="72"/>
      <c r="H170" s="72"/>
    </row>
  </sheetData>
  <mergeCells count="6">
    <mergeCell ref="B6:E6"/>
    <mergeCell ref="F6:H6"/>
    <mergeCell ref="B60:E60"/>
    <mergeCell ref="F60:H60"/>
    <mergeCell ref="B114:E114"/>
    <mergeCell ref="F114:H11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zoomScale="85" zoomScaleNormal="85" workbookViewId="0"/>
  </sheetViews>
  <sheetFormatPr baseColWidth="10" defaultRowHeight="15"/>
  <cols>
    <col min="1" max="1" width="62.85546875" style="217" customWidth="1"/>
    <col min="2" max="2" width="10.7109375" customWidth="1"/>
    <col min="3" max="5" width="10.7109375" style="218" customWidth="1"/>
    <col min="6" max="8" width="10.7109375" customWidth="1"/>
    <col min="9" max="9" width="11.42578125" style="86"/>
    <col min="256" max="256" width="62.85546875" customWidth="1"/>
    <col min="257" max="264" width="10.7109375" customWidth="1"/>
    <col min="512" max="512" width="62.85546875" customWidth="1"/>
    <col min="513" max="520" width="10.7109375" customWidth="1"/>
    <col min="768" max="768" width="62.85546875" customWidth="1"/>
    <col min="769" max="776" width="10.7109375" customWidth="1"/>
    <col min="1024" max="1024" width="62.85546875" customWidth="1"/>
    <col min="1025" max="1032" width="10.7109375" customWidth="1"/>
    <col min="1280" max="1280" width="62.85546875" customWidth="1"/>
    <col min="1281" max="1288" width="10.7109375" customWidth="1"/>
    <col min="1536" max="1536" width="62.85546875" customWidth="1"/>
    <col min="1537" max="1544" width="10.7109375" customWidth="1"/>
    <col min="1792" max="1792" width="62.85546875" customWidth="1"/>
    <col min="1793" max="1800" width="10.7109375" customWidth="1"/>
    <col min="2048" max="2048" width="62.85546875" customWidth="1"/>
    <col min="2049" max="2056" width="10.7109375" customWidth="1"/>
    <col min="2304" max="2304" width="62.85546875" customWidth="1"/>
    <col min="2305" max="2312" width="10.7109375" customWidth="1"/>
    <col min="2560" max="2560" width="62.85546875" customWidth="1"/>
    <col min="2561" max="2568" width="10.7109375" customWidth="1"/>
    <col min="2816" max="2816" width="62.85546875" customWidth="1"/>
    <col min="2817" max="2824" width="10.7109375" customWidth="1"/>
    <col min="3072" max="3072" width="62.85546875" customWidth="1"/>
    <col min="3073" max="3080" width="10.7109375" customWidth="1"/>
    <col min="3328" max="3328" width="62.85546875" customWidth="1"/>
    <col min="3329" max="3336" width="10.7109375" customWidth="1"/>
    <col min="3584" max="3584" width="62.85546875" customWidth="1"/>
    <col min="3585" max="3592" width="10.7109375" customWidth="1"/>
    <col min="3840" max="3840" width="62.85546875" customWidth="1"/>
    <col min="3841" max="3848" width="10.7109375" customWidth="1"/>
    <col min="4096" max="4096" width="62.85546875" customWidth="1"/>
    <col min="4097" max="4104" width="10.7109375" customWidth="1"/>
    <col min="4352" max="4352" width="62.85546875" customWidth="1"/>
    <col min="4353" max="4360" width="10.7109375" customWidth="1"/>
    <col min="4608" max="4608" width="62.85546875" customWidth="1"/>
    <col min="4609" max="4616" width="10.7109375" customWidth="1"/>
    <col min="4864" max="4864" width="62.85546875" customWidth="1"/>
    <col min="4865" max="4872" width="10.7109375" customWidth="1"/>
    <col min="5120" max="5120" width="62.85546875" customWidth="1"/>
    <col min="5121" max="5128" width="10.7109375" customWidth="1"/>
    <col min="5376" max="5376" width="62.85546875" customWidth="1"/>
    <col min="5377" max="5384" width="10.7109375" customWidth="1"/>
    <col min="5632" max="5632" width="62.85546875" customWidth="1"/>
    <col min="5633" max="5640" width="10.7109375" customWidth="1"/>
    <col min="5888" max="5888" width="62.85546875" customWidth="1"/>
    <col min="5889" max="5896" width="10.7109375" customWidth="1"/>
    <col min="6144" max="6144" width="62.85546875" customWidth="1"/>
    <col min="6145" max="6152" width="10.7109375" customWidth="1"/>
    <col min="6400" max="6400" width="62.85546875" customWidth="1"/>
    <col min="6401" max="6408" width="10.7109375" customWidth="1"/>
    <col min="6656" max="6656" width="62.85546875" customWidth="1"/>
    <col min="6657" max="6664" width="10.7109375" customWidth="1"/>
    <col min="6912" max="6912" width="62.85546875" customWidth="1"/>
    <col min="6913" max="6920" width="10.7109375" customWidth="1"/>
    <col min="7168" max="7168" width="62.85546875" customWidth="1"/>
    <col min="7169" max="7176" width="10.7109375" customWidth="1"/>
    <col min="7424" max="7424" width="62.85546875" customWidth="1"/>
    <col min="7425" max="7432" width="10.7109375" customWidth="1"/>
    <col min="7680" max="7680" width="62.85546875" customWidth="1"/>
    <col min="7681" max="7688" width="10.7109375" customWidth="1"/>
    <col min="7936" max="7936" width="62.85546875" customWidth="1"/>
    <col min="7937" max="7944" width="10.7109375" customWidth="1"/>
    <col min="8192" max="8192" width="62.85546875" customWidth="1"/>
    <col min="8193" max="8200" width="10.7109375" customWidth="1"/>
    <col min="8448" max="8448" width="62.85546875" customWidth="1"/>
    <col min="8449" max="8456" width="10.7109375" customWidth="1"/>
    <col min="8704" max="8704" width="62.85546875" customWidth="1"/>
    <col min="8705" max="8712" width="10.7109375" customWidth="1"/>
    <col min="8960" max="8960" width="62.85546875" customWidth="1"/>
    <col min="8961" max="8968" width="10.7109375" customWidth="1"/>
    <col min="9216" max="9216" width="62.85546875" customWidth="1"/>
    <col min="9217" max="9224" width="10.7109375" customWidth="1"/>
    <col min="9472" max="9472" width="62.85546875" customWidth="1"/>
    <col min="9473" max="9480" width="10.7109375" customWidth="1"/>
    <col min="9728" max="9728" width="62.85546875" customWidth="1"/>
    <col min="9729" max="9736" width="10.7109375" customWidth="1"/>
    <col min="9984" max="9984" width="62.85546875" customWidth="1"/>
    <col min="9985" max="9992" width="10.7109375" customWidth="1"/>
    <col min="10240" max="10240" width="62.85546875" customWidth="1"/>
    <col min="10241" max="10248" width="10.7109375" customWidth="1"/>
    <col min="10496" max="10496" width="62.85546875" customWidth="1"/>
    <col min="10497" max="10504" width="10.7109375" customWidth="1"/>
    <col min="10752" max="10752" width="62.85546875" customWidth="1"/>
    <col min="10753" max="10760" width="10.7109375" customWidth="1"/>
    <col min="11008" max="11008" width="62.85546875" customWidth="1"/>
    <col min="11009" max="11016" width="10.7109375" customWidth="1"/>
    <col min="11264" max="11264" width="62.85546875" customWidth="1"/>
    <col min="11265" max="11272" width="10.7109375" customWidth="1"/>
    <col min="11520" max="11520" width="62.85546875" customWidth="1"/>
    <col min="11521" max="11528" width="10.7109375" customWidth="1"/>
    <col min="11776" max="11776" width="62.85546875" customWidth="1"/>
    <col min="11777" max="11784" width="10.7109375" customWidth="1"/>
    <col min="12032" max="12032" width="62.85546875" customWidth="1"/>
    <col min="12033" max="12040" width="10.7109375" customWidth="1"/>
    <col min="12288" max="12288" width="62.85546875" customWidth="1"/>
    <col min="12289" max="12296" width="10.7109375" customWidth="1"/>
    <col min="12544" max="12544" width="62.85546875" customWidth="1"/>
    <col min="12545" max="12552" width="10.7109375" customWidth="1"/>
    <col min="12800" max="12800" width="62.85546875" customWidth="1"/>
    <col min="12801" max="12808" width="10.7109375" customWidth="1"/>
    <col min="13056" max="13056" width="62.85546875" customWidth="1"/>
    <col min="13057" max="13064" width="10.7109375" customWidth="1"/>
    <col min="13312" max="13312" width="62.85546875" customWidth="1"/>
    <col min="13313" max="13320" width="10.7109375" customWidth="1"/>
    <col min="13568" max="13568" width="62.85546875" customWidth="1"/>
    <col min="13569" max="13576" width="10.7109375" customWidth="1"/>
    <col min="13824" max="13824" width="62.85546875" customWidth="1"/>
    <col min="13825" max="13832" width="10.7109375" customWidth="1"/>
    <col min="14080" max="14080" width="62.85546875" customWidth="1"/>
    <col min="14081" max="14088" width="10.7109375" customWidth="1"/>
    <col min="14336" max="14336" width="62.85546875" customWidth="1"/>
    <col min="14337" max="14344" width="10.7109375" customWidth="1"/>
    <col min="14592" max="14592" width="62.85546875" customWidth="1"/>
    <col min="14593" max="14600" width="10.7109375" customWidth="1"/>
    <col min="14848" max="14848" width="62.85546875" customWidth="1"/>
    <col min="14849" max="14856" width="10.7109375" customWidth="1"/>
    <col min="15104" max="15104" width="62.85546875" customWidth="1"/>
    <col min="15105" max="15112" width="10.7109375" customWidth="1"/>
    <col min="15360" max="15360" width="62.85546875" customWidth="1"/>
    <col min="15361" max="15368" width="10.7109375" customWidth="1"/>
    <col min="15616" max="15616" width="62.85546875" customWidth="1"/>
    <col min="15617" max="15624" width="10.7109375" customWidth="1"/>
    <col min="15872" max="15872" width="62.85546875" customWidth="1"/>
    <col min="15873" max="15880" width="10.7109375" customWidth="1"/>
    <col min="16128" max="16128" width="62.85546875" customWidth="1"/>
    <col min="16129" max="16136" width="10.7109375" customWidth="1"/>
  </cols>
  <sheetData>
    <row r="1" spans="1:8" ht="18" customHeight="1">
      <c r="A1" s="197" t="str">
        <f>HLOOKUP(INDICE!$F$2,Nombres!$C$3:$E$853,184)</f>
        <v>Rest of Eurasia</v>
      </c>
      <c r="B1" s="72"/>
      <c r="C1" s="72"/>
      <c r="D1" s="72"/>
      <c r="E1" s="72"/>
      <c r="F1" s="72"/>
      <c r="G1" s="72"/>
      <c r="H1" s="72"/>
    </row>
    <row r="2" spans="1:8" ht="18" customHeight="1">
      <c r="A2" s="198"/>
      <c r="B2" s="72"/>
      <c r="C2" s="72"/>
      <c r="D2" s="72"/>
      <c r="E2" s="72"/>
      <c r="F2" s="72"/>
      <c r="G2" s="72"/>
      <c r="H2" s="72"/>
    </row>
    <row r="3" spans="1:8" ht="18">
      <c r="A3" s="65" t="str">
        <f>HLOOKUP(INDICE!$F$2,Nombres!$C$3:$E$853,93)</f>
        <v xml:space="preserve">Income statement  </v>
      </c>
      <c r="B3" s="67"/>
      <c r="C3" s="199"/>
      <c r="D3" s="199"/>
      <c r="E3" s="199"/>
      <c r="F3" s="67"/>
      <c r="G3" s="67"/>
      <c r="H3" s="67"/>
    </row>
    <row r="4" spans="1:8">
      <c r="A4" s="68" t="str">
        <f>HLOOKUP(INDICE!$F$2,Nombres!$C$3:$E$853,30)</f>
        <v>(Million euros)</v>
      </c>
      <c r="B4" s="72"/>
      <c r="C4" s="72"/>
      <c r="D4" s="200"/>
      <c r="E4" s="200"/>
      <c r="F4" s="72"/>
      <c r="G4" s="72"/>
      <c r="H4" s="72"/>
    </row>
    <row r="5" spans="1:8">
      <c r="A5" s="201"/>
      <c r="B5" s="72"/>
      <c r="C5" s="72"/>
      <c r="D5" s="200"/>
      <c r="E5" s="200"/>
      <c r="F5" s="72"/>
      <c r="G5" s="72"/>
      <c r="H5" s="72"/>
    </row>
    <row r="6" spans="1:8" ht="15.75">
      <c r="A6" s="73"/>
      <c r="B6" s="315">
        <v>2017</v>
      </c>
      <c r="C6" s="316"/>
      <c r="D6" s="316"/>
      <c r="E6" s="316"/>
      <c r="F6" s="315">
        <v>2018</v>
      </c>
      <c r="G6" s="316"/>
      <c r="H6" s="316"/>
    </row>
    <row r="7" spans="1:8" ht="15.75">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row>
    <row r="8" spans="1:8">
      <c r="A8" s="139" t="str">
        <f>HLOOKUP(INDICE!$F$2,Nombres!$C$3:$E$853,38)</f>
        <v>Net interest income</v>
      </c>
      <c r="B8" s="202">
        <v>45.75739299</v>
      </c>
      <c r="C8" s="77">
        <v>49.224769160000001</v>
      </c>
      <c r="D8" s="77">
        <v>48.54068903999999</v>
      </c>
      <c r="E8" s="203">
        <v>36.339114860000009</v>
      </c>
      <c r="F8" s="77">
        <v>42.552510310000002</v>
      </c>
      <c r="G8" s="77">
        <v>39.280795969999993</v>
      </c>
      <c r="H8" s="77">
        <v>42.616188569999991</v>
      </c>
    </row>
    <row r="9" spans="1:8">
      <c r="A9" s="125" t="str">
        <f>HLOOKUP(INDICE!$F$2,Nombres!$C$3:$E$853,39)</f>
        <v>Net fees and commissions</v>
      </c>
      <c r="B9" s="204">
        <v>40.778521060000003</v>
      </c>
      <c r="C9" s="82">
        <v>41.158625999999998</v>
      </c>
      <c r="D9" s="82">
        <v>42.460817399999996</v>
      </c>
      <c r="E9" s="205">
        <v>39.915081600000001</v>
      </c>
      <c r="F9" s="82">
        <v>38.682306410000002</v>
      </c>
      <c r="G9" s="82">
        <v>40.505872159999996</v>
      </c>
      <c r="H9" s="82">
        <v>34.880858310000001</v>
      </c>
    </row>
    <row r="10" spans="1:8">
      <c r="A10" s="125" t="str">
        <f>HLOOKUP(INDICE!$F$2,Nombres!$C$3:$E$853,40)</f>
        <v>Net trading income</v>
      </c>
      <c r="B10" s="204">
        <v>48.231467299999998</v>
      </c>
      <c r="C10" s="82">
        <v>31.352611199999998</v>
      </c>
      <c r="D10" s="82">
        <v>18.861061619999997</v>
      </c>
      <c r="E10" s="205">
        <v>24.06947593000001</v>
      </c>
      <c r="F10" s="82">
        <v>43.641720640000003</v>
      </c>
      <c r="G10" s="82">
        <v>11.216789729999999</v>
      </c>
      <c r="H10" s="82">
        <v>22.395310439999992</v>
      </c>
    </row>
    <row r="11" spans="1:8">
      <c r="A11" s="125" t="str">
        <f>HLOOKUP(INDICE!$F$2,Nombres!$C$3:$E$853,95)</f>
        <v>Other operating income and expenses</v>
      </c>
      <c r="B11" s="204">
        <v>0.66319400000000006</v>
      </c>
      <c r="C11" s="82">
        <v>-0.94868400000000008</v>
      </c>
      <c r="D11" s="82">
        <v>1.1184992999999999</v>
      </c>
      <c r="E11" s="205">
        <v>0.38984699999999967</v>
      </c>
      <c r="F11" s="82">
        <v>0.64991800000000011</v>
      </c>
      <c r="G11" s="82">
        <v>-0.67415299999999956</v>
      </c>
      <c r="H11" s="82">
        <v>0.82814499999999969</v>
      </c>
    </row>
    <row r="12" spans="1:8">
      <c r="A12" s="139" t="str">
        <f>HLOOKUP(INDICE!$F$2,Nombres!$C$3:$E$853,44)</f>
        <v>Gross income</v>
      </c>
      <c r="B12" s="202">
        <v>135.43057535</v>
      </c>
      <c r="C12" s="77">
        <v>120.78732236</v>
      </c>
      <c r="D12" s="77">
        <v>110.98106735999998</v>
      </c>
      <c r="E12" s="203">
        <v>100.71351939000002</v>
      </c>
      <c r="F12" s="77">
        <v>125.52645536</v>
      </c>
      <c r="G12" s="77">
        <v>90.329304860000008</v>
      </c>
      <c r="H12" s="77">
        <v>100.72050231999999</v>
      </c>
    </row>
    <row r="13" spans="1:8">
      <c r="A13" s="125" t="str">
        <f>HLOOKUP(INDICE!$F$2,Nombres!$C$3:$E$853,45)</f>
        <v>Operating expenses</v>
      </c>
      <c r="B13" s="204">
        <v>-79.635008120000009</v>
      </c>
      <c r="C13" s="82">
        <v>-74.485831009999998</v>
      </c>
      <c r="D13" s="82">
        <v>-73.383278169999997</v>
      </c>
      <c r="E13" s="205">
        <v>-80.779835890000001</v>
      </c>
      <c r="F13" s="82">
        <v>-72.452763189999985</v>
      </c>
      <c r="G13" s="82">
        <v>-69.482839949999999</v>
      </c>
      <c r="H13" s="82">
        <v>-75.156477590000009</v>
      </c>
    </row>
    <row r="14" spans="1:8">
      <c r="A14" s="125" t="str">
        <f>HLOOKUP(INDICE!$F$2,Nombres!$C$3:$E$853,46)</f>
        <v xml:space="preserve">  Administration expenses</v>
      </c>
      <c r="B14" s="204">
        <v>-76.41539112000001</v>
      </c>
      <c r="C14" s="82">
        <v>-71.350170009999999</v>
      </c>
      <c r="D14" s="82">
        <v>-70.970436169999999</v>
      </c>
      <c r="E14" s="205">
        <v>-78.527343889999997</v>
      </c>
      <c r="F14" s="82">
        <v>-70.93423319</v>
      </c>
      <c r="G14" s="82">
        <v>-67.991789949999998</v>
      </c>
      <c r="H14" s="82">
        <v>-73.653289590000014</v>
      </c>
    </row>
    <row r="15" spans="1:8">
      <c r="A15" s="141" t="str">
        <f>HLOOKUP(INDICE!$F$2,Nombres!$C$3:$E$853,47)</f>
        <v xml:space="preserve">  Personnel expenses</v>
      </c>
      <c r="B15" s="204">
        <v>-42.670043000000007</v>
      </c>
      <c r="C15" s="82">
        <v>-37.498778000000001</v>
      </c>
      <c r="D15" s="82">
        <v>-35.712507000000002</v>
      </c>
      <c r="E15" s="205">
        <v>-40.440280009999995</v>
      </c>
      <c r="F15" s="82">
        <v>-35.247335</v>
      </c>
      <c r="G15" s="82">
        <v>-31.405487000000001</v>
      </c>
      <c r="H15" s="82">
        <v>-34.436643179999997</v>
      </c>
    </row>
    <row r="16" spans="1:8">
      <c r="A16" s="141" t="str">
        <f>HLOOKUP(INDICE!$F$2,Nombres!$C$3:$E$853,48)</f>
        <v xml:space="preserve">  General and administrative expenses</v>
      </c>
      <c r="B16" s="204">
        <v>-33.745348120000003</v>
      </c>
      <c r="C16" s="82">
        <v>-33.851392009999998</v>
      </c>
      <c r="D16" s="82">
        <v>-35.257929169999997</v>
      </c>
      <c r="E16" s="205">
        <v>-38.087063880000002</v>
      </c>
      <c r="F16" s="82">
        <v>-35.686898190000001</v>
      </c>
      <c r="G16" s="82">
        <v>-36.586302950000004</v>
      </c>
      <c r="H16" s="82">
        <v>-39.21664641000001</v>
      </c>
    </row>
    <row r="17" spans="1:8" ht="13.5" customHeight="1">
      <c r="A17" s="125" t="str">
        <f>HLOOKUP(INDICE!$F$2,Nombres!$C$3:$E$853,49)</f>
        <v xml:space="preserve">  Depreciation</v>
      </c>
      <c r="B17" s="204">
        <v>-3.219617</v>
      </c>
      <c r="C17" s="82">
        <v>-3.1356610000000007</v>
      </c>
      <c r="D17" s="82">
        <v>-2.4128420000000004</v>
      </c>
      <c r="E17" s="205">
        <v>-2.2524919999999997</v>
      </c>
      <c r="F17" s="82">
        <v>-1.5185300000000002</v>
      </c>
      <c r="G17" s="82">
        <v>-1.49105</v>
      </c>
      <c r="H17" s="82">
        <v>-1.503188</v>
      </c>
    </row>
    <row r="18" spans="1:8" ht="12.75" customHeight="1">
      <c r="A18" s="139" t="str">
        <f>HLOOKUP(INDICE!$F$2,Nombres!$C$3:$E$853,50)</f>
        <v>Operating income</v>
      </c>
      <c r="B18" s="202">
        <v>55.795567230000003</v>
      </c>
      <c r="C18" s="77">
        <v>46.301491349999992</v>
      </c>
      <c r="D18" s="77">
        <v>37.597789189999972</v>
      </c>
      <c r="E18" s="203">
        <v>19.933683500000022</v>
      </c>
      <c r="F18" s="77">
        <v>53.073692169999987</v>
      </c>
      <c r="G18" s="77">
        <v>20.846464910000002</v>
      </c>
      <c r="H18" s="77">
        <v>25.564024729999986</v>
      </c>
    </row>
    <row r="19" spans="1:8" ht="13.5" customHeight="1">
      <c r="A19" s="125" t="str">
        <f>HLOOKUP(INDICE!$F$2,Nombres!$C$3:$E$853,51)</f>
        <v>Impaiment on financial assets not measured at fair value through profit or loss</v>
      </c>
      <c r="B19" s="204">
        <v>7.464059999999999</v>
      </c>
      <c r="C19" s="82">
        <v>1.8071710800000009</v>
      </c>
      <c r="D19" s="82">
        <v>0.64431699999999958</v>
      </c>
      <c r="E19" s="205">
        <v>13.085339999999993</v>
      </c>
      <c r="F19" s="82">
        <v>16.957968999999999</v>
      </c>
      <c r="G19" s="82">
        <v>-2.8180293300000026</v>
      </c>
      <c r="H19" s="82">
        <v>-22.96472722</v>
      </c>
    </row>
    <row r="20" spans="1:8" ht="13.5" customHeight="1">
      <c r="A20" s="125" t="str">
        <f>HLOOKUP(INDICE!$F$2,Nombres!$C$3:$E$853,160)</f>
        <v>Provisions or reversal of provisions and other results</v>
      </c>
      <c r="B20" s="204">
        <v>-4.8174809999999963</v>
      </c>
      <c r="C20" s="82">
        <v>-2.1425679999999998</v>
      </c>
      <c r="D20" s="82">
        <v>-1.5365865100000007</v>
      </c>
      <c r="E20" s="205">
        <v>2.7331692599999982</v>
      </c>
      <c r="F20" s="82">
        <v>-0.66807717000000166</v>
      </c>
      <c r="G20" s="82">
        <v>2.9894070099999999</v>
      </c>
      <c r="H20" s="82">
        <v>1.0491449999999996</v>
      </c>
    </row>
    <row r="21" spans="1:8" ht="12.75" customHeight="1">
      <c r="A21" s="139" t="str">
        <f>HLOOKUP(INDICE!$F$2,Nombres!$C$3:$E$853,54)</f>
        <v>Profit/(loss) before tax</v>
      </c>
      <c r="B21" s="202">
        <v>58.442146229999999</v>
      </c>
      <c r="C21" s="77">
        <v>45.966094429999998</v>
      </c>
      <c r="D21" s="77">
        <v>36.705519679999981</v>
      </c>
      <c r="E21" s="203">
        <v>35.752192760000014</v>
      </c>
      <c r="F21" s="77">
        <v>69.363583999999989</v>
      </c>
      <c r="G21" s="77">
        <v>21.017842590000001</v>
      </c>
      <c r="H21" s="77">
        <v>3.6484425099999775</v>
      </c>
    </row>
    <row r="22" spans="1:8" ht="13.5" customHeight="1">
      <c r="A22" s="125" t="str">
        <f>HLOOKUP(INDICE!$F$2,Nombres!$C$3:$E$853,55)</f>
        <v>Income tax</v>
      </c>
      <c r="B22" s="204">
        <v>-18.573079560000004</v>
      </c>
      <c r="C22" s="82">
        <v>-12.732950159999998</v>
      </c>
      <c r="D22" s="82">
        <v>-9.1842210499999997</v>
      </c>
      <c r="E22" s="205">
        <v>-11.662825190000001</v>
      </c>
      <c r="F22" s="82">
        <v>-21.881575179999999</v>
      </c>
      <c r="G22" s="82">
        <v>-10.213064900000003</v>
      </c>
      <c r="H22" s="82">
        <v>-4.4390108799999997</v>
      </c>
    </row>
    <row r="23" spans="1:8" ht="13.5" customHeight="1">
      <c r="A23" s="139" t="str">
        <f>HLOOKUP(INDICE!$F$2,Nombres!$C$3:$E$853,56)</f>
        <v>Profit/(loss) for the year</v>
      </c>
      <c r="B23" s="202">
        <v>39.869066670000002</v>
      </c>
      <c r="C23" s="77">
        <v>33.233144270000004</v>
      </c>
      <c r="D23" s="77">
        <v>27.521298629999976</v>
      </c>
      <c r="E23" s="203">
        <v>24.089367570000018</v>
      </c>
      <c r="F23" s="77">
        <v>47.482008820000004</v>
      </c>
      <c r="G23" s="77">
        <v>10.80477769</v>
      </c>
      <c r="H23" s="77">
        <v>-0.79056837000001856</v>
      </c>
    </row>
    <row r="24" spans="1:8" ht="12" customHeight="1">
      <c r="A24" s="125" t="str">
        <f>HLOOKUP(INDICE!$F$2,Nombres!$C$3:$E$853,57)</f>
        <v>Non-controlling interests</v>
      </c>
      <c r="B24" s="228" t="s">
        <v>744</v>
      </c>
      <c r="C24" s="82" t="s">
        <v>744</v>
      </c>
      <c r="D24" s="82" t="s">
        <v>744</v>
      </c>
      <c r="E24" s="205" t="s">
        <v>744</v>
      </c>
      <c r="F24" s="82" t="s">
        <v>744</v>
      </c>
      <c r="G24" s="82" t="s">
        <v>744</v>
      </c>
      <c r="H24" s="82" t="s">
        <v>744</v>
      </c>
    </row>
    <row r="25" spans="1:8" ht="14.25" customHeight="1">
      <c r="A25" s="206" t="str">
        <f>HLOOKUP(INDICE!$F$2,Nombres!$C$3:$E$853,58)</f>
        <v>Net attributable profit</v>
      </c>
      <c r="B25" s="207">
        <v>39.869066670000002</v>
      </c>
      <c r="C25" s="208">
        <v>33.233144270000004</v>
      </c>
      <c r="D25" s="208">
        <v>27.521298629999976</v>
      </c>
      <c r="E25" s="209">
        <v>24.089367570000018</v>
      </c>
      <c r="F25" s="208">
        <v>47.482008820000004</v>
      </c>
      <c r="G25" s="208">
        <v>10.80477769</v>
      </c>
      <c r="H25" s="208">
        <v>-0.79056837000001856</v>
      </c>
    </row>
    <row r="26" spans="1:8" ht="14.25" customHeight="1">
      <c r="A26" s="72"/>
      <c r="B26" s="72"/>
      <c r="C26" s="72"/>
      <c r="D26" s="72"/>
      <c r="E26" s="72"/>
      <c r="F26" s="72"/>
      <c r="G26" s="72"/>
      <c r="H26" s="72"/>
    </row>
    <row r="27" spans="1:8" ht="18" customHeight="1">
      <c r="A27" s="65" t="str">
        <f>HLOOKUP(INDICE!$F$2,Nombres!$C$3:$E$853,94)</f>
        <v>Balance sheets</v>
      </c>
      <c r="B27" s="67"/>
      <c r="C27" s="67"/>
      <c r="D27" s="67"/>
      <c r="E27" s="67"/>
      <c r="F27" s="89"/>
      <c r="G27" s="210"/>
      <c r="H27" s="210"/>
    </row>
    <row r="28" spans="1:8" ht="12.75" customHeight="1">
      <c r="A28" s="68" t="str">
        <f>HLOOKUP(INDICE!$F$2,Nombres!$C$3:$E$853,30)</f>
        <v>(Million euros)</v>
      </c>
      <c r="B28" s="72"/>
      <c r="C28" s="211"/>
      <c r="D28" s="211"/>
      <c r="E28" s="211"/>
      <c r="F28" s="84"/>
      <c r="G28" s="212"/>
      <c r="H28" s="212"/>
    </row>
    <row r="29" spans="1:8" ht="13.5" customHeight="1">
      <c r="A29" s="72"/>
      <c r="B29" s="59">
        <v>42825</v>
      </c>
      <c r="C29" s="59">
        <v>42916</v>
      </c>
      <c r="D29" s="59">
        <v>43008</v>
      </c>
      <c r="E29" s="59">
        <v>43100</v>
      </c>
      <c r="F29" s="59">
        <v>43190</v>
      </c>
      <c r="G29" s="59">
        <v>43281</v>
      </c>
      <c r="H29" s="59">
        <v>43373</v>
      </c>
    </row>
    <row r="30" spans="1:8">
      <c r="A30" s="125" t="str">
        <f>HLOOKUP(INDICE!$F$2,Nombres!$C$3:$E$853,100)</f>
        <v>Cash, cash balances at central banks and other demand deposits</v>
      </c>
      <c r="B30" s="204">
        <v>952.74907100000007</v>
      </c>
      <c r="C30" s="82">
        <v>792.14229399999999</v>
      </c>
      <c r="D30" s="82">
        <v>1095.7075170000003</v>
      </c>
      <c r="E30" s="205">
        <v>877.48903600000017</v>
      </c>
      <c r="F30" s="82">
        <v>705.32938300000001</v>
      </c>
      <c r="G30" s="82">
        <v>883.61989799999992</v>
      </c>
      <c r="H30" s="82">
        <v>700.00059499999998</v>
      </c>
    </row>
    <row r="31" spans="1:8">
      <c r="A31" s="125" t="str">
        <f>HLOOKUP(INDICE!$F$2,Nombres!$C$3:$E$853,101)</f>
        <v xml:space="preserve">Financial assets designated at fair value </v>
      </c>
      <c r="B31" s="204">
        <v>1360.59595696</v>
      </c>
      <c r="C31" s="82">
        <v>1130.0337330500001</v>
      </c>
      <c r="D31" s="82">
        <v>960.62372239000001</v>
      </c>
      <c r="E31" s="205">
        <v>990.56341739000004</v>
      </c>
      <c r="F31" s="82">
        <v>534.62989439</v>
      </c>
      <c r="G31" s="82">
        <v>539.13910139000006</v>
      </c>
      <c r="H31" s="82">
        <v>530.79893938999999</v>
      </c>
    </row>
    <row r="32" spans="1:8">
      <c r="A32" s="125" t="str">
        <f>HLOOKUP(INDICE!$F$2,Nombres!$C$3:$E$853,406)</f>
        <v>Financial assets at amortized cost</v>
      </c>
      <c r="B32" s="204">
        <v>16301.629156643929</v>
      </c>
      <c r="C32" s="82">
        <v>16524.592274218412</v>
      </c>
      <c r="D32" s="82">
        <v>15838.08175500003</v>
      </c>
      <c r="E32" s="205">
        <v>15009.074877420007</v>
      </c>
      <c r="F32" s="82">
        <v>15128.715757310005</v>
      </c>
      <c r="G32" s="82">
        <v>16617.592029790001</v>
      </c>
      <c r="H32" s="82">
        <v>16893.029351860005</v>
      </c>
    </row>
    <row r="33" spans="1:8">
      <c r="A33" s="125" t="str">
        <f>HLOOKUP(INDICE!$F$2,Nombres!$C$3:$E$853,103)</f>
        <v xml:space="preserve">    of which loans and advances to customers</v>
      </c>
      <c r="B33" s="204">
        <v>15932.588763643929</v>
      </c>
      <c r="C33" s="82">
        <v>16297.505933218412</v>
      </c>
      <c r="D33" s="82">
        <v>15656.75049100003</v>
      </c>
      <c r="E33" s="205">
        <v>14864.317329420008</v>
      </c>
      <c r="F33" s="82">
        <v>13988.096323310005</v>
      </c>
      <c r="G33" s="82">
        <v>15286.800345790001</v>
      </c>
      <c r="H33" s="82">
        <v>15621.902502860004</v>
      </c>
    </row>
    <row r="34" spans="1:8">
      <c r="A34" s="125" t="str">
        <f>HLOOKUP(INDICE!$F$2,Nombres!$C$3:$E$853,105)</f>
        <v>Inter-area positions</v>
      </c>
      <c r="B34" s="213">
        <v>0</v>
      </c>
      <c r="C34" s="82">
        <v>0</v>
      </c>
      <c r="D34" s="82">
        <v>0</v>
      </c>
      <c r="E34" s="205">
        <v>0</v>
      </c>
      <c r="F34" s="82">
        <v>0</v>
      </c>
      <c r="G34" s="82">
        <v>0</v>
      </c>
      <c r="H34" s="82">
        <v>0</v>
      </c>
    </row>
    <row r="35" spans="1:8">
      <c r="A35" s="125" t="str">
        <f>HLOOKUP(INDICE!$F$2,Nombres!$C$3:$E$853,106)</f>
        <v>Tangible assets</v>
      </c>
      <c r="B35" s="214">
        <v>37.583154999999998</v>
      </c>
      <c r="C35" s="82">
        <v>37.150874999999999</v>
      </c>
      <c r="D35" s="82">
        <v>36.441822999999999</v>
      </c>
      <c r="E35" s="205">
        <v>35.781590000000001</v>
      </c>
      <c r="F35" s="82">
        <v>36.68383</v>
      </c>
      <c r="G35" s="82">
        <v>37.015909000000001</v>
      </c>
      <c r="H35" s="82">
        <v>38.032818000000006</v>
      </c>
    </row>
    <row r="36" spans="1:8">
      <c r="A36" s="125" t="str">
        <f>HLOOKUP(INDICE!$F$2,Nombres!$C$3:$E$853,107)</f>
        <v>Other assets</v>
      </c>
      <c r="B36" s="204">
        <v>371.47331109000004</v>
      </c>
      <c r="C36" s="82">
        <v>323.11252709000001</v>
      </c>
      <c r="D36" s="82">
        <v>310.07852592</v>
      </c>
      <c r="E36" s="205">
        <v>351.94119491999999</v>
      </c>
      <c r="F36" s="82">
        <v>344.06295008999996</v>
      </c>
      <c r="G36" s="82">
        <v>379.84718809000003</v>
      </c>
      <c r="H36" s="82">
        <v>319.85327208999996</v>
      </c>
    </row>
    <row r="37" spans="1:8">
      <c r="A37" s="206" t="str">
        <f>HLOOKUP(INDICE!$F$2,Nombres!$C$3:$E$853,108)</f>
        <v>Total assets / Liabilities and equity</v>
      </c>
      <c r="B37" s="207">
        <v>19024.030650693927</v>
      </c>
      <c r="C37" s="208">
        <v>18807.031703358414</v>
      </c>
      <c r="D37" s="208">
        <v>18240.933343310036</v>
      </c>
      <c r="E37" s="209">
        <v>17264.850115730005</v>
      </c>
      <c r="F37" s="208">
        <v>16749.421814790003</v>
      </c>
      <c r="G37" s="208">
        <v>18457.214126270002</v>
      </c>
      <c r="H37" s="208">
        <v>18481.714976340005</v>
      </c>
    </row>
    <row r="38" spans="1:8">
      <c r="A38" s="125" t="str">
        <f>HLOOKUP(INDICE!$F$2,Nombres!$C$3:$E$853,111)</f>
        <v>Financial liabilities held for trading and designated at fair value through profit or loss</v>
      </c>
      <c r="B38" s="204">
        <v>69.363315</v>
      </c>
      <c r="C38" s="82">
        <v>51.641525999999999</v>
      </c>
      <c r="D38" s="82">
        <v>44.923847000000002</v>
      </c>
      <c r="E38" s="205">
        <v>44.884567000000004</v>
      </c>
      <c r="F38" s="82">
        <v>42.723013999999999</v>
      </c>
      <c r="G38" s="82">
        <v>41.017928999999995</v>
      </c>
      <c r="H38" s="82">
        <v>38.99279700000001</v>
      </c>
    </row>
    <row r="39" spans="1:8">
      <c r="A39" s="125" t="str">
        <f>HLOOKUP(INDICE!$F$2,Nombres!$C$3:$E$853,109)</f>
        <v>Deposits from central banks and credit institutions</v>
      </c>
      <c r="B39" s="204">
        <v>2969.2590789999999</v>
      </c>
      <c r="C39" s="82">
        <v>2435.0146500000005</v>
      </c>
      <c r="D39" s="82">
        <v>2330.7304729999996</v>
      </c>
      <c r="E39" s="205">
        <v>2363.7788470599999</v>
      </c>
      <c r="F39" s="82">
        <v>2898.9127239999998</v>
      </c>
      <c r="G39" s="82">
        <v>2623.9809749999995</v>
      </c>
      <c r="H39" s="82">
        <v>2301.0394839999994</v>
      </c>
    </row>
    <row r="40" spans="1:8">
      <c r="A40" s="125" t="str">
        <f>HLOOKUP(INDICE!$F$2,Nombres!$C$3:$E$853,110)</f>
        <v>Deposits from customers</v>
      </c>
      <c r="B40" s="204">
        <v>8523.8980610000017</v>
      </c>
      <c r="C40" s="82">
        <v>7303.954439000001</v>
      </c>
      <c r="D40" s="82">
        <v>6675.5202060000011</v>
      </c>
      <c r="E40" s="205">
        <v>6700.3981599999988</v>
      </c>
      <c r="F40" s="82">
        <v>5424.7187879999992</v>
      </c>
      <c r="G40" s="82">
        <v>5232.8053540000001</v>
      </c>
      <c r="H40" s="82">
        <v>5196.0378930000006</v>
      </c>
    </row>
    <row r="41" spans="1:8" ht="13.5" customHeight="1">
      <c r="A41" s="125" t="str">
        <f>HLOOKUP(INDICE!$F$2,Nombres!$C$3:$E$853,112)</f>
        <v>Debt certificates</v>
      </c>
      <c r="B41" s="204">
        <v>244.20517079000001</v>
      </c>
      <c r="C41" s="82">
        <v>241.79517321999998</v>
      </c>
      <c r="D41" s="82">
        <v>231.24031930000001</v>
      </c>
      <c r="E41" s="205">
        <v>354.03064981</v>
      </c>
      <c r="F41" s="82">
        <v>220.70168180000002</v>
      </c>
      <c r="G41" s="82">
        <v>290.22716248</v>
      </c>
      <c r="H41" s="82">
        <v>265.97926783000003</v>
      </c>
    </row>
    <row r="42" spans="1:8" ht="13.5" customHeight="1">
      <c r="A42" s="125" t="str">
        <f>HLOOKUP(INDICE!$F$2,Nombres!$C$3:$E$853,113)</f>
        <v>Inter-area positions</v>
      </c>
      <c r="B42" s="204">
        <v>5815.7444408039246</v>
      </c>
      <c r="C42" s="82">
        <v>7444.3337232084141</v>
      </c>
      <c r="D42" s="82">
        <v>6541.7595419600329</v>
      </c>
      <c r="E42" s="205">
        <v>5643.4642119699984</v>
      </c>
      <c r="F42" s="82">
        <v>6410.1841206700046</v>
      </c>
      <c r="G42" s="82">
        <v>8616.6497584800036</v>
      </c>
      <c r="H42" s="82">
        <v>9178.1847370000069</v>
      </c>
    </row>
    <row r="43" spans="1:8">
      <c r="A43" s="125" t="str">
        <f>HLOOKUP(INDICE!$F$2,Nombres!$C$3:$E$853,115)</f>
        <v>Other liabilities</v>
      </c>
      <c r="B43" s="204">
        <v>424.11281410000254</v>
      </c>
      <c r="C43" s="82">
        <v>362.29966192999882</v>
      </c>
      <c r="D43" s="82">
        <v>1478.5045403200056</v>
      </c>
      <c r="E43" s="205">
        <v>1245.5002367200002</v>
      </c>
      <c r="F43" s="82">
        <v>869.1592563199988</v>
      </c>
      <c r="G43" s="82">
        <v>866.18554730999949</v>
      </c>
      <c r="H43" s="82">
        <v>777.56990932999997</v>
      </c>
    </row>
    <row r="44" spans="1:8" ht="12.75" customHeight="1">
      <c r="A44" s="125" t="str">
        <f>HLOOKUP(INDICE!$F$2,Nombres!$C$3:$E$853,116)</f>
        <v>Economic capital allocated</v>
      </c>
      <c r="B44" s="204">
        <v>977.44776999999988</v>
      </c>
      <c r="C44" s="82">
        <v>967.99252999999999</v>
      </c>
      <c r="D44" s="82">
        <v>938.25441572999989</v>
      </c>
      <c r="E44" s="205">
        <v>912.79344317000005</v>
      </c>
      <c r="F44" s="82">
        <v>883.02223000000004</v>
      </c>
      <c r="G44" s="82">
        <v>786.34739999999965</v>
      </c>
      <c r="H44" s="82">
        <v>723.91088817999935</v>
      </c>
    </row>
    <row r="45" spans="1:8" ht="12.75" customHeight="1">
      <c r="A45" s="125"/>
      <c r="B45" s="69"/>
      <c r="C45" s="82"/>
      <c r="D45" s="82"/>
      <c r="E45" s="82"/>
      <c r="F45" s="82"/>
      <c r="G45" s="82"/>
      <c r="H45" s="82"/>
    </row>
    <row r="46" spans="1:8" ht="18">
      <c r="A46" s="65" t="str">
        <f>HLOOKUP(INDICE!$F$2,Nombres!$C$3:$E$853,117)</f>
        <v>Relevant business indicators</v>
      </c>
      <c r="B46" s="67"/>
      <c r="C46" s="67"/>
      <c r="D46" s="67"/>
      <c r="E46" s="67"/>
      <c r="F46" s="89"/>
      <c r="G46" s="210"/>
      <c r="H46" s="210"/>
    </row>
    <row r="47" spans="1:8" ht="13.5" customHeight="1">
      <c r="A47" s="68" t="str">
        <f>HLOOKUP(INDICE!$F$2,Nombres!$C$3:$E$853,30)</f>
        <v>(Million euros)</v>
      </c>
      <c r="B47" s="72"/>
      <c r="C47" s="72"/>
      <c r="D47" s="72"/>
      <c r="E47" s="72"/>
      <c r="F47" s="84"/>
      <c r="G47" s="212"/>
      <c r="H47" s="212"/>
    </row>
    <row r="48" spans="1:8" ht="12.75" customHeight="1">
      <c r="A48" s="72"/>
      <c r="B48" s="59">
        <v>42825</v>
      </c>
      <c r="C48" s="59">
        <v>42916</v>
      </c>
      <c r="D48" s="59">
        <v>43008</v>
      </c>
      <c r="E48" s="59">
        <v>43100</v>
      </c>
      <c r="F48" s="59">
        <v>43190</v>
      </c>
      <c r="G48" s="59">
        <v>43281</v>
      </c>
      <c r="H48" s="59">
        <v>43373</v>
      </c>
    </row>
    <row r="49" spans="1:8" ht="12" customHeight="1">
      <c r="A49" s="125" t="str">
        <f>HLOOKUP(INDICE!$F$2,Nombres!$C$3:$E$853,118)</f>
        <v>Loans and advances to customers (gross) (*)</v>
      </c>
      <c r="B49" s="204">
        <v>16438.081022643899</v>
      </c>
      <c r="C49" s="82">
        <v>16816.3287732184</v>
      </c>
      <c r="D49" s="82">
        <v>16171.934637999999</v>
      </c>
      <c r="E49" s="205">
        <v>15260.83248042</v>
      </c>
      <c r="F49" s="82">
        <v>14368.74448931</v>
      </c>
      <c r="G49" s="82">
        <v>15634.04458779</v>
      </c>
      <c r="H49" s="82">
        <v>15985.797828860001</v>
      </c>
    </row>
    <row r="50" spans="1:8">
      <c r="A50" s="125" t="str">
        <f>HLOOKUP(INDICE!$F$2,Nombres!$C$3:$E$853,121)</f>
        <v>Customer deposits under management (*)</v>
      </c>
      <c r="B50" s="204">
        <v>8523.8980609999999</v>
      </c>
      <c r="C50" s="82">
        <v>7303.9544390000001</v>
      </c>
      <c r="D50" s="82">
        <v>6675.5202060000001</v>
      </c>
      <c r="E50" s="205">
        <v>6700.3981600000006</v>
      </c>
      <c r="F50" s="82">
        <v>5424.7187880000001</v>
      </c>
      <c r="G50" s="82">
        <v>5232.8053540000001</v>
      </c>
      <c r="H50" s="82">
        <v>5196.0378929999997</v>
      </c>
    </row>
    <row r="51" spans="1:8">
      <c r="A51" s="125" t="str">
        <f>HLOOKUP(INDICE!$F$2,Nombres!$C$3:$E$853,122)</f>
        <v>Mutual funds</v>
      </c>
      <c r="B51" s="204">
        <v>1.3466000000000001E-2</v>
      </c>
      <c r="C51" s="82">
        <v>0</v>
      </c>
      <c r="D51" s="82">
        <v>1.3507E-2</v>
      </c>
      <c r="E51" s="205">
        <v>1.3533999999999999E-2</v>
      </c>
      <c r="F51" s="82">
        <v>1.3577000000000001E-2</v>
      </c>
      <c r="G51" s="82">
        <v>1.3533E-2</v>
      </c>
      <c r="H51" s="82">
        <v>0</v>
      </c>
    </row>
    <row r="52" spans="1:8">
      <c r="A52" s="125" t="str">
        <f>HLOOKUP(INDICE!$F$2,Nombres!$C$3:$E$853,206)</f>
        <v>Pension funds</v>
      </c>
      <c r="B52" s="204">
        <v>356.04676791000003</v>
      </c>
      <c r="C52" s="82">
        <v>361.63559692000001</v>
      </c>
      <c r="D52" s="82">
        <v>366.65688104999998</v>
      </c>
      <c r="E52" s="205">
        <v>375.85172712999997</v>
      </c>
      <c r="F52" s="82">
        <v>390.44223488</v>
      </c>
      <c r="G52" s="82">
        <v>388.01119473</v>
      </c>
      <c r="H52" s="82">
        <v>383.01289384</v>
      </c>
    </row>
    <row r="53" spans="1:8">
      <c r="A53" s="125" t="str">
        <f>HLOOKUP(INDICE!$F$2,Nombres!$C$3:$E$853,308)</f>
        <v>Other off balance-sheet funds</v>
      </c>
      <c r="B53" s="228">
        <v>0</v>
      </c>
      <c r="C53" s="82">
        <v>0</v>
      </c>
      <c r="D53" s="82">
        <v>0</v>
      </c>
      <c r="E53" s="205">
        <v>0</v>
      </c>
      <c r="F53" s="82">
        <v>0</v>
      </c>
      <c r="G53" s="82" t="s">
        <v>744</v>
      </c>
      <c r="H53" s="82">
        <v>0</v>
      </c>
    </row>
    <row r="54" spans="1:8">
      <c r="A54" s="215" t="str">
        <f>HLOOKUP(INDICE!$F$2,Nombres!$C$3:$E$853,307)</f>
        <v xml:space="preserve">(*) Excluding repos. </v>
      </c>
      <c r="B54" s="69"/>
      <c r="C54" s="82"/>
      <c r="D54" s="82"/>
      <c r="E54" s="82"/>
      <c r="F54" s="82"/>
      <c r="G54" s="82"/>
      <c r="H54" s="82"/>
    </row>
    <row r="55" spans="1:8">
      <c r="A55" s="215" t="str">
        <f>HLOOKUP(INDICE!$F$2,Nombres!$C$3:$E$853,285)</f>
        <v xml:space="preserve"> </v>
      </c>
      <c r="B55" s="72"/>
      <c r="C55" s="72"/>
      <c r="D55" s="72"/>
      <c r="E55" s="72"/>
      <c r="F55" s="72"/>
      <c r="G55" s="72"/>
      <c r="H55" s="72"/>
    </row>
    <row r="56" spans="1:8">
      <c r="A56" s="215"/>
      <c r="B56" s="72"/>
      <c r="C56" s="72"/>
      <c r="D56" s="72"/>
      <c r="E56" s="72"/>
      <c r="F56" s="72"/>
      <c r="G56" s="72"/>
      <c r="H56" s="72"/>
    </row>
    <row r="57" spans="1:8" ht="18">
      <c r="A57" s="65" t="str">
        <f>HLOOKUP(INDICE!$F$2,Nombres!$C$3:$E$853,93)</f>
        <v xml:space="preserve">Income statement  </v>
      </c>
      <c r="B57" s="67"/>
      <c r="C57" s="199"/>
      <c r="D57" s="199"/>
      <c r="E57" s="199"/>
      <c r="F57" s="67"/>
      <c r="G57" s="210"/>
      <c r="H57" s="210"/>
    </row>
    <row r="58" spans="1:8">
      <c r="A58" s="68" t="str">
        <f>HLOOKUP(INDICE!$F$2,Nombres!$C$3:$E$853,31)</f>
        <v xml:space="preserve">(Constant million euros)    </v>
      </c>
      <c r="B58" s="72"/>
      <c r="C58" s="200"/>
      <c r="D58" s="200"/>
      <c r="E58" s="200"/>
      <c r="F58" s="72"/>
      <c r="G58" s="212"/>
      <c r="H58" s="212"/>
    </row>
    <row r="59" spans="1:8">
      <c r="A59" s="201"/>
      <c r="B59" s="72"/>
      <c r="C59" s="200"/>
      <c r="D59" s="200"/>
      <c r="E59" s="200"/>
      <c r="F59" s="72"/>
      <c r="G59" s="212"/>
      <c r="H59" s="212"/>
    </row>
    <row r="60" spans="1:8" ht="15.75">
      <c r="A60" s="73"/>
      <c r="B60" s="315">
        <v>2017</v>
      </c>
      <c r="C60" s="316"/>
      <c r="D60" s="316"/>
      <c r="E60" s="316"/>
      <c r="F60" s="315">
        <v>2018</v>
      </c>
      <c r="G60" s="316"/>
      <c r="H60" s="316"/>
    </row>
    <row r="61" spans="1:8" ht="15.75">
      <c r="A61" s="73"/>
      <c r="B61" s="93" t="str">
        <f>HLOOKUP(INDICE!$F$2,Nombres!$C$3:$E$857,34)</f>
        <v>1Q</v>
      </c>
      <c r="C61" s="93" t="str">
        <f>HLOOKUP(INDICE!$F$2,Nombres!$C$3:$E$857,35)</f>
        <v>2Q</v>
      </c>
      <c r="D61" s="93" t="str">
        <f>HLOOKUP(INDICE!$F$2,Nombres!$C$3:$E$857,36)</f>
        <v>3Q</v>
      </c>
      <c r="E61" s="93" t="str">
        <f>HLOOKUP(INDICE!$F$2,Nombres!$C$3:$E$857,37)</f>
        <v>4Q</v>
      </c>
      <c r="F61" s="93" t="str">
        <f>HLOOKUP(INDICE!$F$2,Nombres!$C$3:$E$857,34)</f>
        <v>1Q</v>
      </c>
      <c r="G61" s="93" t="str">
        <f>HLOOKUP(INDICE!$F$2,Nombres!$C$3:$E$857,35)</f>
        <v>2Q</v>
      </c>
      <c r="H61" s="93" t="str">
        <f>HLOOKUP(INDICE!$F$2,Nombres!$C$3:$E$857,36)</f>
        <v>3Q</v>
      </c>
    </row>
    <row r="62" spans="1:8">
      <c r="A62" s="139" t="str">
        <f>HLOOKUP(INDICE!$F$2,Nombres!$C$3:$E$853,38)</f>
        <v>Net interest income</v>
      </c>
      <c r="B62" s="202">
        <v>45.500963503952462</v>
      </c>
      <c r="C62" s="77">
        <v>49.003244179563836</v>
      </c>
      <c r="D62" s="77">
        <v>48.442555529195715</v>
      </c>
      <c r="E62" s="203">
        <v>36.359983757393067</v>
      </c>
      <c r="F62" s="139">
        <v>42.562823342270768</v>
      </c>
      <c r="G62" s="139">
        <v>39.313890124381267</v>
      </c>
      <c r="H62" s="139">
        <v>42.572781383347959</v>
      </c>
    </row>
    <row r="63" spans="1:8">
      <c r="A63" s="125" t="str">
        <f>HLOOKUP(INDICE!$F$2,Nombres!$C$3:$E$853,39)</f>
        <v>Net fees and commissions</v>
      </c>
      <c r="B63" s="204">
        <v>40.212907281278731</v>
      </c>
      <c r="C63" s="82">
        <v>40.619217805833728</v>
      </c>
      <c r="D63" s="82">
        <v>42.313660245726226</v>
      </c>
      <c r="E63" s="205">
        <v>39.885946463999616</v>
      </c>
      <c r="F63" s="216">
        <v>38.70413264114724</v>
      </c>
      <c r="G63" s="216">
        <v>40.578041470993533</v>
      </c>
      <c r="H63" s="216">
        <v>34.786862767859233</v>
      </c>
    </row>
    <row r="64" spans="1:8">
      <c r="A64" s="125" t="str">
        <f>HLOOKUP(INDICE!$F$2,Nombres!$C$3:$E$853,40)</f>
        <v>Net trading income</v>
      </c>
      <c r="B64" s="204">
        <v>48.2114700548887</v>
      </c>
      <c r="C64" s="82">
        <v>31.398560933721143</v>
      </c>
      <c r="D64" s="82">
        <v>18.867236773398627</v>
      </c>
      <c r="E64" s="205">
        <v>24.040799783013689</v>
      </c>
      <c r="F64" s="216">
        <v>43.642568429988621</v>
      </c>
      <c r="G64" s="216">
        <v>11.218195794533866</v>
      </c>
      <c r="H64" s="216">
        <v>22.393056585477513</v>
      </c>
    </row>
    <row r="65" spans="1:8" ht="17.25" customHeight="1">
      <c r="A65" s="125" t="str">
        <f>HLOOKUP(INDICE!$F$2,Nombres!$C$3:$E$853,95)</f>
        <v>Other operating income and expenses</v>
      </c>
      <c r="B65" s="204">
        <v>0.66517001236277695</v>
      </c>
      <c r="C65" s="82">
        <v>-0.94832720439784746</v>
      </c>
      <c r="D65" s="82">
        <v>1.1198757224623361</v>
      </c>
      <c r="E65" s="205">
        <v>0.38899270989969914</v>
      </c>
      <c r="F65" s="216">
        <v>0.64991102230462061</v>
      </c>
      <c r="G65" s="216">
        <v>-0.67425686760900461</v>
      </c>
      <c r="H65" s="216">
        <v>0.82825584530438423</v>
      </c>
    </row>
    <row r="66" spans="1:8" ht="15.75" customHeight="1">
      <c r="A66" s="139" t="str">
        <f>HLOOKUP(INDICE!$F$2,Nombres!$C$3:$E$853,44)</f>
        <v>Gross income</v>
      </c>
      <c r="B66" s="202">
        <v>134.59051085248265</v>
      </c>
      <c r="C66" s="77">
        <v>120.07269571472085</v>
      </c>
      <c r="D66" s="77">
        <v>110.7433282707829</v>
      </c>
      <c r="E66" s="203">
        <v>100.67572271430609</v>
      </c>
      <c r="F66" s="139">
        <v>125.55943543571124</v>
      </c>
      <c r="G66" s="139">
        <v>90.435870522299652</v>
      </c>
      <c r="H66" s="139">
        <v>100.58095658198908</v>
      </c>
    </row>
    <row r="67" spans="1:8">
      <c r="A67" s="125" t="str">
        <f>HLOOKUP(INDICE!$F$2,Nombres!$C$3:$E$853,45)</f>
        <v>Operating expenses</v>
      </c>
      <c r="B67" s="204">
        <v>-78.917715632311968</v>
      </c>
      <c r="C67" s="82">
        <v>-73.84432117831571</v>
      </c>
      <c r="D67" s="82">
        <v>-73.200227585366619</v>
      </c>
      <c r="E67" s="205">
        <v>-80.815209222250758</v>
      </c>
      <c r="F67" s="216">
        <v>-72.481825291255817</v>
      </c>
      <c r="G67" s="216">
        <v>-69.585720709396469</v>
      </c>
      <c r="H67" s="216">
        <v>-75.024534729347721</v>
      </c>
    </row>
    <row r="68" spans="1:8">
      <c r="A68" s="125" t="str">
        <f>HLOOKUP(INDICE!$F$2,Nombres!$C$3:$E$853,46)</f>
        <v xml:space="preserve">  Administration expenses</v>
      </c>
      <c r="B68" s="204">
        <v>-75.729003465665812</v>
      </c>
      <c r="C68" s="82">
        <v>-70.734107237364711</v>
      </c>
      <c r="D68" s="82">
        <v>-70.796430278650647</v>
      </c>
      <c r="E68" s="205">
        <v>-78.562728597786148</v>
      </c>
      <c r="F68" s="216">
        <v>-70.96181950868305</v>
      </c>
      <c r="G68" s="216">
        <v>-68.089820919932365</v>
      </c>
      <c r="H68" s="216">
        <v>-73.527672301384598</v>
      </c>
    </row>
    <row r="69" spans="1:8">
      <c r="A69" s="141" t="str">
        <f>HLOOKUP(INDICE!$F$2,Nombres!$C$3:$E$853,47)</f>
        <v xml:space="preserve">  Personnel expenses</v>
      </c>
      <c r="B69" s="204">
        <v>-42.215243994583261</v>
      </c>
      <c r="C69" s="82">
        <v>-37.068057681979276</v>
      </c>
      <c r="D69" s="82">
        <v>-35.579871103694849</v>
      </c>
      <c r="E69" s="205">
        <v>-40.463509831320188</v>
      </c>
      <c r="F69" s="216">
        <v>-35.26569331654359</v>
      </c>
      <c r="G69" s="216">
        <v>-31.474400886441764</v>
      </c>
      <c r="H69" s="216">
        <v>-34.349370977014644</v>
      </c>
    </row>
    <row r="70" spans="1:8">
      <c r="A70" s="141" t="str">
        <f>HLOOKUP(INDICE!$F$2,Nombres!$C$3:$E$853,48)</f>
        <v xml:space="preserve">  General and administrative expenses</v>
      </c>
      <c r="B70" s="204">
        <v>-33.513759471082544</v>
      </c>
      <c r="C70" s="82">
        <v>-33.666049555385428</v>
      </c>
      <c r="D70" s="82">
        <v>-35.216559174955805</v>
      </c>
      <c r="E70" s="205">
        <v>-38.099218766465953</v>
      </c>
      <c r="F70" s="216">
        <v>-35.696126192139445</v>
      </c>
      <c r="G70" s="216">
        <v>-36.615420033490608</v>
      </c>
      <c r="H70" s="216">
        <v>-39.17830132436994</v>
      </c>
    </row>
    <row r="71" spans="1:8" ht="13.5" customHeight="1">
      <c r="A71" s="125" t="str">
        <f>HLOOKUP(INDICE!$F$2,Nombres!$C$3:$E$853,49)</f>
        <v xml:space="preserve">  Depreciation</v>
      </c>
      <c r="B71" s="204">
        <v>-3.1887121666461691</v>
      </c>
      <c r="C71" s="82">
        <v>-3.1102139409510023</v>
      </c>
      <c r="D71" s="82">
        <v>-2.4037973067159637</v>
      </c>
      <c r="E71" s="205">
        <v>-2.2524806244646096</v>
      </c>
      <c r="F71" s="216">
        <v>-1.5200057825727744</v>
      </c>
      <c r="G71" s="216">
        <v>-1.4958997894640977</v>
      </c>
      <c r="H71" s="216">
        <v>-1.4968624279631277</v>
      </c>
    </row>
    <row r="72" spans="1:8" ht="14.25" customHeight="1">
      <c r="A72" s="139" t="str">
        <f>HLOOKUP(INDICE!$F$2,Nombres!$C$3:$E$853,50)</f>
        <v>Operating income</v>
      </c>
      <c r="B72" s="202">
        <v>55.672795220170691</v>
      </c>
      <c r="C72" s="77">
        <v>46.228374536405141</v>
      </c>
      <c r="D72" s="77">
        <v>37.543100685416277</v>
      </c>
      <c r="E72" s="203">
        <v>19.860513492055325</v>
      </c>
      <c r="F72" s="139">
        <v>53.077610144455406</v>
      </c>
      <c r="G72" s="139">
        <v>20.850149812903204</v>
      </c>
      <c r="H72" s="139">
        <v>25.556421852641371</v>
      </c>
    </row>
    <row r="73" spans="1:8">
      <c r="A73" s="125" t="str">
        <f>HLOOKUP(INDICE!$F$2,Nombres!$C$3:$E$853,51)</f>
        <v>Impaiment on financial assets not measured at fair value through profit or loss</v>
      </c>
      <c r="B73" s="204">
        <v>7.4693557131322414</v>
      </c>
      <c r="C73" s="82">
        <v>1.771330162576962</v>
      </c>
      <c r="D73" s="82">
        <v>0.65448996948258409</v>
      </c>
      <c r="E73" s="205">
        <v>13.093269808308587</v>
      </c>
      <c r="F73" s="216">
        <v>16.957955044609239</v>
      </c>
      <c r="G73" s="216">
        <v>-2.818044933357081</v>
      </c>
      <c r="H73" s="216">
        <v>-22.96469766125217</v>
      </c>
    </row>
    <row r="74" spans="1:8" ht="16.5" customHeight="1">
      <c r="A74" s="125" t="str">
        <f>HLOOKUP(INDICE!$F$2,Nombres!$C$3:$E$853,160)</f>
        <v>Provisions or reversal of provisions and other results</v>
      </c>
      <c r="B74" s="204">
        <v>-4.8174809999999963</v>
      </c>
      <c r="C74" s="82">
        <v>-2.1457027107028739</v>
      </c>
      <c r="D74" s="82">
        <v>-1.5331094087961481</v>
      </c>
      <c r="E74" s="205">
        <v>2.7626119932086994</v>
      </c>
      <c r="F74" s="216">
        <v>-0.66807717000000166</v>
      </c>
      <c r="G74" s="216">
        <v>2.9930870741055631</v>
      </c>
      <c r="H74" s="216">
        <v>1.0454649358944355</v>
      </c>
    </row>
    <row r="75" spans="1:8" ht="12.75" customHeight="1">
      <c r="A75" s="139" t="str">
        <f>HLOOKUP(INDICE!$F$2,Nombres!$C$3:$E$853,54)</f>
        <v>Profit/(loss) before tax</v>
      </c>
      <c r="B75" s="202">
        <v>58.324669933302928</v>
      </c>
      <c r="C75" s="77">
        <v>45.854001988279229</v>
      </c>
      <c r="D75" s="77">
        <v>36.664481246102724</v>
      </c>
      <c r="E75" s="203">
        <v>35.716395293572617</v>
      </c>
      <c r="F75" s="139">
        <v>69.367488019064652</v>
      </c>
      <c r="G75" s="139">
        <v>21.025191953651696</v>
      </c>
      <c r="H75" s="139">
        <v>3.6371891272836354</v>
      </c>
    </row>
    <row r="76" spans="1:8" ht="13.5" customHeight="1">
      <c r="A76" s="125" t="str">
        <f>HLOOKUP(INDICE!$F$2,Nombres!$C$3:$E$853,55)</f>
        <v>Income tax</v>
      </c>
      <c r="B76" s="204">
        <v>-18.546294004219732</v>
      </c>
      <c r="C76" s="82">
        <v>-12.706976049481415</v>
      </c>
      <c r="D76" s="82">
        <v>-9.176376233770192</v>
      </c>
      <c r="E76" s="205">
        <v>-11.631154609321607</v>
      </c>
      <c r="F76" s="216">
        <v>-21.882443553736437</v>
      </c>
      <c r="G76" s="216">
        <v>-10.214781933870839</v>
      </c>
      <c r="H76" s="216">
        <v>-4.4364254723927274</v>
      </c>
    </row>
    <row r="77" spans="1:8" ht="12.75" customHeight="1">
      <c r="A77" s="139" t="str">
        <f>HLOOKUP(INDICE!$F$2,Nombres!$C$3:$E$853,56)</f>
        <v>Profit/(loss) for the year</v>
      </c>
      <c r="B77" s="202">
        <v>39.778375929083204</v>
      </c>
      <c r="C77" s="77">
        <v>33.14702593879781</v>
      </c>
      <c r="D77" s="77">
        <v>27.488105012332525</v>
      </c>
      <c r="E77" s="203">
        <v>24.085240684251019</v>
      </c>
      <c r="F77" s="139">
        <v>47.485044465328222</v>
      </c>
      <c r="G77" s="139">
        <v>10.810410019780853</v>
      </c>
      <c r="H77" s="139">
        <v>-0.79923634510908936</v>
      </c>
    </row>
    <row r="78" spans="1:8" ht="12.75" customHeight="1">
      <c r="A78" s="125" t="str">
        <f>HLOOKUP(INDICE!$F$2,Nombres!$C$3:$E$853,57)</f>
        <v>Non-controlling interests</v>
      </c>
      <c r="B78" s="228" t="s">
        <v>744</v>
      </c>
      <c r="C78" s="82" t="s">
        <v>744</v>
      </c>
      <c r="D78" s="82" t="s">
        <v>744</v>
      </c>
      <c r="E78" s="205" t="s">
        <v>744</v>
      </c>
      <c r="F78" s="216" t="s">
        <v>744</v>
      </c>
      <c r="G78" s="216" t="s">
        <v>744</v>
      </c>
      <c r="H78" s="216" t="s">
        <v>744</v>
      </c>
    </row>
    <row r="79" spans="1:8" ht="15" customHeight="1">
      <c r="A79" s="206" t="str">
        <f>HLOOKUP(INDICE!$F$2,Nombres!$C$3:$E$853,58)</f>
        <v>Net attributable profit</v>
      </c>
      <c r="B79" s="207">
        <v>39.778375929083204</v>
      </c>
      <c r="C79" s="208">
        <v>33.14702593879781</v>
      </c>
      <c r="D79" s="208">
        <v>27.488105012332525</v>
      </c>
      <c r="E79" s="209">
        <v>24.085240684251019</v>
      </c>
      <c r="F79" s="206">
        <v>47.485044465328222</v>
      </c>
      <c r="G79" s="206">
        <v>10.810410019780853</v>
      </c>
      <c r="H79" s="206">
        <v>-0.79923634510908936</v>
      </c>
    </row>
    <row r="80" spans="1:8" ht="15" customHeight="1">
      <c r="A80" s="72"/>
      <c r="B80" s="72"/>
      <c r="C80" s="72"/>
      <c r="D80" s="72"/>
      <c r="E80" s="72"/>
      <c r="F80" s="72"/>
      <c r="G80" s="72"/>
      <c r="H80" s="72"/>
    </row>
    <row r="81" spans="1:8" ht="17.25" customHeight="1">
      <c r="A81" s="65" t="str">
        <f>HLOOKUP(INDICE!$F$2,Nombres!$C$3:$E$853,94)</f>
        <v>Balance sheets</v>
      </c>
      <c r="B81" s="67"/>
      <c r="C81" s="67"/>
      <c r="D81" s="67"/>
      <c r="E81" s="67"/>
      <c r="F81" s="67"/>
      <c r="G81" s="210"/>
      <c r="H81" s="210"/>
    </row>
    <row r="82" spans="1:8">
      <c r="A82" s="68" t="str">
        <f>HLOOKUP(INDICE!$F$2,Nombres!$C$3:$E$853,31)</f>
        <v xml:space="preserve">(Constant million euros)    </v>
      </c>
      <c r="B82" s="72"/>
      <c r="C82" s="211"/>
      <c r="D82" s="211"/>
      <c r="E82" s="211"/>
      <c r="F82" s="72"/>
      <c r="G82" s="212"/>
      <c r="H82" s="212"/>
    </row>
    <row r="83" spans="1:8" ht="15.75">
      <c r="A83" s="72"/>
      <c r="B83" s="59">
        <v>42825</v>
      </c>
      <c r="C83" s="59">
        <v>42916</v>
      </c>
      <c r="D83" s="59">
        <v>43008</v>
      </c>
      <c r="E83" s="59">
        <v>43100</v>
      </c>
      <c r="F83" s="59">
        <v>43190</v>
      </c>
      <c r="G83" s="59">
        <v>43281</v>
      </c>
      <c r="H83" s="59">
        <v>43373</v>
      </c>
    </row>
    <row r="84" spans="1:8">
      <c r="A84" s="125" t="str">
        <f>HLOOKUP(INDICE!$F$2,Nombres!$C$3:$E$853,100)</f>
        <v>Cash, cash balances at central banks and other demand deposits</v>
      </c>
      <c r="B84" s="204">
        <v>938.76057053632849</v>
      </c>
      <c r="C84" s="82">
        <v>787.47144861798006</v>
      </c>
      <c r="D84" s="82">
        <v>1096.8799919349531</v>
      </c>
      <c r="E84" s="205">
        <v>879.58844756742417</v>
      </c>
      <c r="F84" s="82">
        <v>706.94734028112578</v>
      </c>
      <c r="G84" s="82">
        <v>885.52738265083019</v>
      </c>
      <c r="H84" s="82">
        <v>700.00059499999998</v>
      </c>
    </row>
    <row r="85" spans="1:8">
      <c r="A85" s="125" t="str">
        <f>HLOOKUP(INDICE!$F$2,Nombres!$C$3:$E$853,101)</f>
        <v xml:space="preserve">Financial assets designated at fair value </v>
      </c>
      <c r="B85" s="204">
        <v>1332.8324188731503</v>
      </c>
      <c r="C85" s="82">
        <v>1112.295579527206</v>
      </c>
      <c r="D85" s="82">
        <v>966.44030845668658</v>
      </c>
      <c r="E85" s="205">
        <v>1005.234056850304</v>
      </c>
      <c r="F85" s="82">
        <v>534.67747775876842</v>
      </c>
      <c r="G85" s="82">
        <v>539.15794841775062</v>
      </c>
      <c r="H85" s="82">
        <v>530.79893938999999</v>
      </c>
    </row>
    <row r="86" spans="1:8">
      <c r="A86" s="125" t="str">
        <f>HLOOKUP(INDICE!$F$2,Nombres!$C$3:$E$853,406)</f>
        <v>Financial assets at amortized cost</v>
      </c>
      <c r="B86" s="204">
        <v>16274.949315046331</v>
      </c>
      <c r="C86" s="82">
        <v>16511.579885496205</v>
      </c>
      <c r="D86" s="82">
        <v>15842.171257067448</v>
      </c>
      <c r="E86" s="205">
        <v>15020.872248319483</v>
      </c>
      <c r="F86" s="82">
        <v>15159.266816747982</v>
      </c>
      <c r="G86" s="82">
        <v>16634.139988440082</v>
      </c>
      <c r="H86" s="82">
        <v>16893.029351860005</v>
      </c>
    </row>
    <row r="87" spans="1:8">
      <c r="A87" s="125" t="str">
        <f>HLOOKUP(INDICE!$F$2,Nombres!$C$3:$E$853,103)</f>
        <v xml:space="preserve">    of which loans and advances to customers</v>
      </c>
      <c r="B87" s="204">
        <v>15914.114694436534</v>
      </c>
      <c r="C87" s="82">
        <v>16286.322463468829</v>
      </c>
      <c r="D87" s="82">
        <v>15660.828268691883</v>
      </c>
      <c r="E87" s="205">
        <v>14876.083830632921</v>
      </c>
      <c r="F87" s="82">
        <v>14001.537213442625</v>
      </c>
      <c r="G87" s="82">
        <v>15294.553941463884</v>
      </c>
      <c r="H87" s="82">
        <v>15621.902502860004</v>
      </c>
    </row>
    <row r="88" spans="1:8">
      <c r="A88" s="125" t="str">
        <f>HLOOKUP(INDICE!$F$2,Nombres!$C$3:$E$853,105)</f>
        <v>Inter-area positions</v>
      </c>
      <c r="B88" s="213">
        <v>0</v>
      </c>
      <c r="C88" s="82">
        <v>0</v>
      </c>
      <c r="D88" s="82">
        <v>0</v>
      </c>
      <c r="E88" s="205">
        <v>0</v>
      </c>
      <c r="F88" s="82">
        <v>0</v>
      </c>
      <c r="G88" s="82">
        <v>0</v>
      </c>
      <c r="H88" s="82">
        <v>0</v>
      </c>
    </row>
    <row r="89" spans="1:8">
      <c r="A89" s="125" t="str">
        <f>HLOOKUP(INDICE!$F$2,Nombres!$C$3:$E$853,106)</f>
        <v>Tangible assets</v>
      </c>
      <c r="B89" s="214">
        <v>37.433358437908119</v>
      </c>
      <c r="C89" s="82">
        <v>37.063583824773502</v>
      </c>
      <c r="D89" s="82">
        <v>36.470778843584483</v>
      </c>
      <c r="E89" s="205">
        <v>35.855404366541656</v>
      </c>
      <c r="F89" s="82">
        <v>36.767295238424495</v>
      </c>
      <c r="G89" s="82">
        <v>37.059773612629414</v>
      </c>
      <c r="H89" s="82">
        <v>38.032818000000006</v>
      </c>
    </row>
    <row r="90" spans="1:8">
      <c r="A90" s="125" t="str">
        <f>HLOOKUP(INDICE!$F$2,Nombres!$C$3:$E$853,107)</f>
        <v>Other assets</v>
      </c>
      <c r="B90" s="204">
        <v>370.4144345870784</v>
      </c>
      <c r="C90" s="82">
        <v>322.47764496678178</v>
      </c>
      <c r="D90" s="82">
        <v>310.30986118154607</v>
      </c>
      <c r="E90" s="205">
        <v>352.64325004576716</v>
      </c>
      <c r="F90" s="82">
        <v>344.80804100026882</v>
      </c>
      <c r="G90" s="82">
        <v>380.25404243282878</v>
      </c>
      <c r="H90" s="82">
        <v>319.85327208999996</v>
      </c>
    </row>
    <row r="91" spans="1:8">
      <c r="A91" s="206" t="str">
        <f>HLOOKUP(INDICE!$F$2,Nombres!$C$3:$E$853,108)</f>
        <v>Total assets / Liabilities and equity</v>
      </c>
      <c r="B91" s="207">
        <v>18954.390097480802</v>
      </c>
      <c r="C91" s="208">
        <v>18770.888142432948</v>
      </c>
      <c r="D91" s="208">
        <v>18252.272197484221</v>
      </c>
      <c r="E91" s="209">
        <v>17294.19340714952</v>
      </c>
      <c r="F91" s="208">
        <v>16782.46697102657</v>
      </c>
      <c r="G91" s="208">
        <v>18476.139135554116</v>
      </c>
      <c r="H91" s="208">
        <v>18481.714976340005</v>
      </c>
    </row>
    <row r="92" spans="1:8">
      <c r="A92" s="125" t="str">
        <f>HLOOKUP(INDICE!$F$2,Nombres!$C$3:$E$853,111)</f>
        <v>Financial liabilities held for trading and designated at fair value through profit or loss</v>
      </c>
      <c r="B92" s="204">
        <v>69.302333444181329</v>
      </c>
      <c r="C92" s="82">
        <v>51.588755602158898</v>
      </c>
      <c r="D92" s="82">
        <v>44.943458229691046</v>
      </c>
      <c r="E92" s="205">
        <v>44.911309358303441</v>
      </c>
      <c r="F92" s="82">
        <v>42.751326718132226</v>
      </c>
      <c r="G92" s="82">
        <v>41.029599401525253</v>
      </c>
      <c r="H92" s="82">
        <v>38.99279700000001</v>
      </c>
    </row>
    <row r="93" spans="1:8">
      <c r="A93" s="125" t="str">
        <f>HLOOKUP(INDICE!$F$2,Nombres!$C$3:$E$853,109)</f>
        <v>Deposits from central banks and credit institutions</v>
      </c>
      <c r="B93" s="204">
        <v>2968.7424068783739</v>
      </c>
      <c r="C93" s="82">
        <v>2434.7089773852272</v>
      </c>
      <c r="D93" s="82">
        <v>2330.8085067557522</v>
      </c>
      <c r="E93" s="205">
        <v>2363.7995178114434</v>
      </c>
      <c r="F93" s="82">
        <v>2899.1911869474102</v>
      </c>
      <c r="G93" s="82">
        <v>2624.7655523960257</v>
      </c>
      <c r="H93" s="82">
        <v>2301.0394839999994</v>
      </c>
    </row>
    <row r="94" spans="1:8">
      <c r="A94" s="125" t="str">
        <f>HLOOKUP(INDICE!$F$2,Nombres!$C$3:$E$853,110)</f>
        <v>Deposits from customers</v>
      </c>
      <c r="B94" s="204">
        <v>8465.0107531670001</v>
      </c>
      <c r="C94" s="82">
        <v>7272.3550335680084</v>
      </c>
      <c r="D94" s="82">
        <v>6685.2829228380078</v>
      </c>
      <c r="E94" s="205">
        <v>6725.6046746491447</v>
      </c>
      <c r="F94" s="82">
        <v>5452.5843943060008</v>
      </c>
      <c r="G94" s="82">
        <v>5248.1777768029606</v>
      </c>
      <c r="H94" s="82">
        <v>5196.0378930000006</v>
      </c>
    </row>
    <row r="95" spans="1:8">
      <c r="A95" s="125" t="str">
        <f>HLOOKUP(INDICE!$F$2,Nombres!$C$3:$E$853,112)</f>
        <v>Debt certificates</v>
      </c>
      <c r="B95" s="204">
        <v>243.90032440667676</v>
      </c>
      <c r="C95" s="82">
        <v>241.6214638696479</v>
      </c>
      <c r="D95" s="82">
        <v>231.30264830913148</v>
      </c>
      <c r="E95" s="205">
        <v>354.20057600523558</v>
      </c>
      <c r="F95" s="82">
        <v>220.89276678257897</v>
      </c>
      <c r="G95" s="82">
        <v>290.36633690924947</v>
      </c>
      <c r="H95" s="82">
        <v>265.97926783000003</v>
      </c>
    </row>
    <row r="96" spans="1:8">
      <c r="A96" s="125" t="str">
        <f>HLOOKUP(INDICE!$F$2,Nombres!$C$3:$E$853,113)</f>
        <v>Inter-area positions</v>
      </c>
      <c r="B96" s="204">
        <v>5807.9044864834996</v>
      </c>
      <c r="C96" s="82">
        <v>7441.6825867810021</v>
      </c>
      <c r="D96" s="82">
        <v>6542.6738840795697</v>
      </c>
      <c r="E96" s="205">
        <v>5628.7902263282795</v>
      </c>
      <c r="F96" s="82">
        <v>6413.4432804079443</v>
      </c>
      <c r="G96" s="82">
        <v>8618.2193331719754</v>
      </c>
      <c r="H96" s="82">
        <v>9178.1847370000069</v>
      </c>
    </row>
    <row r="97" spans="1:8" ht="12" customHeight="1">
      <c r="A97" s="125" t="str">
        <f>HLOOKUP(INDICE!$F$2,Nombres!$C$3:$E$853,115)</f>
        <v>Other liabilities</v>
      </c>
      <c r="B97" s="204">
        <v>423.30140985289825</v>
      </c>
      <c r="C97" s="69">
        <v>361.63363332282131</v>
      </c>
      <c r="D97" s="69">
        <v>1478.7570452395335</v>
      </c>
      <c r="E97" s="69">
        <v>1263.4139543179192</v>
      </c>
      <c r="F97" s="204">
        <v>869.81744516990921</v>
      </c>
      <c r="G97" s="69">
        <v>866.67643859824329</v>
      </c>
      <c r="H97" s="69">
        <v>777.56990932999997</v>
      </c>
    </row>
    <row r="98" spans="1:8" ht="12" customHeight="1">
      <c r="A98" s="125" t="str">
        <f>HLOOKUP(INDICE!$F$2,Nombres!$C$3:$E$853,116)</f>
        <v>Economic capital allocated</v>
      </c>
      <c r="B98" s="204">
        <v>976.22838324817178</v>
      </c>
      <c r="C98" s="82">
        <v>967.29769190408263</v>
      </c>
      <c r="D98" s="82">
        <v>938.50373203253594</v>
      </c>
      <c r="E98" s="205">
        <v>913.47314867919408</v>
      </c>
      <c r="F98" s="82">
        <v>883.78657069459541</v>
      </c>
      <c r="G98" s="82">
        <v>786.90409827413623</v>
      </c>
      <c r="H98" s="82">
        <v>723.91088817999935</v>
      </c>
    </row>
    <row r="99" spans="1:8" ht="12" customHeight="1">
      <c r="A99" s="125"/>
      <c r="B99" s="69"/>
      <c r="C99" s="82"/>
      <c r="D99" s="82"/>
      <c r="E99" s="82"/>
      <c r="F99" s="82"/>
      <c r="G99" s="82"/>
      <c r="H99" s="82"/>
    </row>
    <row r="100" spans="1:8" ht="18">
      <c r="A100" s="65" t="str">
        <f>HLOOKUP(INDICE!$F$2,Nombres!$C$3:$E$853,117)</f>
        <v>Relevant business indicators</v>
      </c>
      <c r="B100" s="67"/>
      <c r="C100" s="67"/>
      <c r="D100" s="67"/>
      <c r="E100" s="67"/>
      <c r="F100" s="67"/>
      <c r="G100" s="210"/>
      <c r="H100" s="210"/>
    </row>
    <row r="101" spans="1:8" ht="12" customHeight="1">
      <c r="A101" s="68" t="str">
        <f>HLOOKUP(INDICE!$F$2,Nombres!$C$3:$E$853,31)</f>
        <v xml:space="preserve">(Constant million euros)    </v>
      </c>
      <c r="B101" s="72"/>
      <c r="C101" s="72"/>
      <c r="D101" s="72"/>
      <c r="E101" s="72"/>
      <c r="F101" s="72"/>
      <c r="G101" s="212"/>
      <c r="H101" s="212"/>
    </row>
    <row r="102" spans="1:8" ht="15.75">
      <c r="A102" s="72"/>
      <c r="B102" s="59">
        <v>42825</v>
      </c>
      <c r="C102" s="59">
        <v>42916</v>
      </c>
      <c r="D102" s="59">
        <v>43008</v>
      </c>
      <c r="E102" s="59">
        <v>43100</v>
      </c>
      <c r="F102" s="59">
        <v>43190</v>
      </c>
      <c r="G102" s="59">
        <v>43281</v>
      </c>
      <c r="H102" s="59">
        <v>43373</v>
      </c>
    </row>
    <row r="103" spans="1:8">
      <c r="A103" s="125" t="str">
        <f>HLOOKUP(INDICE!$F$2,Nombres!$C$3:$E$853,118)</f>
        <v>Loans and advances to customers (gross) (*)</v>
      </c>
      <c r="B103" s="214">
        <v>16419.566025114676</v>
      </c>
      <c r="C103" s="69">
        <v>16805.126371619564</v>
      </c>
      <c r="D103" s="69">
        <v>16176.02144881861</v>
      </c>
      <c r="E103" s="69">
        <v>15270.982603912342</v>
      </c>
      <c r="F103" s="214">
        <v>14382.185379442619</v>
      </c>
      <c r="G103" s="69">
        <v>15641.798183463887</v>
      </c>
      <c r="H103" s="69">
        <f>+H49</f>
        <v>15985.797828860001</v>
      </c>
    </row>
    <row r="104" spans="1:8">
      <c r="A104" s="125" t="str">
        <f>HLOOKUP(INDICE!$F$2,Nombres!$C$3:$E$853,121)</f>
        <v>Customer deposits under management (*)</v>
      </c>
      <c r="B104" s="214">
        <v>8465.0107531669983</v>
      </c>
      <c r="C104" s="69">
        <v>7272.3550335680084</v>
      </c>
      <c r="D104" s="69">
        <v>6685.2829228380069</v>
      </c>
      <c r="E104" s="69">
        <v>6725.6046746491456</v>
      </c>
      <c r="F104" s="214">
        <v>5452.5843943060017</v>
      </c>
      <c r="G104" s="69">
        <v>5248.1777768029606</v>
      </c>
      <c r="H104" s="69">
        <f t="shared" ref="H104:H107" si="0">+H50</f>
        <v>5196.0378929999997</v>
      </c>
    </row>
    <row r="105" spans="1:8">
      <c r="A105" s="125" t="str">
        <f>HLOOKUP(INDICE!$F$2,Nombres!$C$3:$E$853,122)</f>
        <v>Mutual funds</v>
      </c>
      <c r="B105" s="214">
        <v>1.3466000000000001E-2</v>
      </c>
      <c r="C105" s="69">
        <v>1.3501000000000001E-2</v>
      </c>
      <c r="D105" s="69">
        <v>1.3507E-2</v>
      </c>
      <c r="E105" s="69">
        <v>1.3533999999999999E-2</v>
      </c>
      <c r="F105" s="214">
        <v>1.3577000000000001E-2</v>
      </c>
      <c r="G105" s="69">
        <v>0</v>
      </c>
      <c r="H105" s="69">
        <f t="shared" si="0"/>
        <v>0</v>
      </c>
    </row>
    <row r="106" spans="1:8">
      <c r="A106" s="125" t="str">
        <f>HLOOKUP(INDICE!$F$2,Nombres!$C$3:$E$853,206)</f>
        <v>Pension funds</v>
      </c>
      <c r="B106" s="213">
        <v>356.04676791000003</v>
      </c>
      <c r="C106" s="82">
        <v>361.63559692000001</v>
      </c>
      <c r="D106" s="82">
        <v>366.65688104999998</v>
      </c>
      <c r="E106" s="82">
        <v>375.85172712999997</v>
      </c>
      <c r="F106" s="213">
        <v>390.44223488</v>
      </c>
      <c r="G106" s="82">
        <v>383.01289384</v>
      </c>
      <c r="H106" s="69">
        <f t="shared" si="0"/>
        <v>383.01289384</v>
      </c>
    </row>
    <row r="107" spans="1:8">
      <c r="A107" s="125" t="str">
        <f>HLOOKUP(INDICE!$F$2,Nombres!$C$3:$E$853,308)</f>
        <v>Other off balance-sheet funds</v>
      </c>
      <c r="B107" s="213" t="s">
        <v>744</v>
      </c>
      <c r="C107" s="82" t="s">
        <v>744</v>
      </c>
      <c r="D107" s="82" t="s">
        <v>744</v>
      </c>
      <c r="E107" s="82" t="s">
        <v>744</v>
      </c>
      <c r="F107" s="213" t="s">
        <v>744</v>
      </c>
      <c r="G107" s="82">
        <v>0</v>
      </c>
      <c r="H107" s="69">
        <f t="shared" si="0"/>
        <v>0</v>
      </c>
    </row>
    <row r="108" spans="1:8">
      <c r="A108" s="215" t="str">
        <f>HLOOKUP(INDICE!$F$2,Nombres!$C$3:$E$853,307)</f>
        <v xml:space="preserve">(*) Excluding repos. </v>
      </c>
      <c r="B108" s="212"/>
      <c r="C108" s="216"/>
      <c r="D108" s="216"/>
      <c r="E108" s="216"/>
      <c r="F108" s="216"/>
      <c r="G108" s="72"/>
      <c r="H108" s="72"/>
    </row>
    <row r="109" spans="1:8">
      <c r="A109" s="215" t="str">
        <f>HLOOKUP(INDICE!$F$2,Nombres!$C$3:$E$853,285)</f>
        <v xml:space="preserve"> </v>
      </c>
      <c r="B109" s="212"/>
      <c r="C109" s="216"/>
      <c r="D109" s="216"/>
      <c r="E109" s="216"/>
      <c r="F109" s="216"/>
      <c r="G109" s="72"/>
      <c r="H109" s="72"/>
    </row>
    <row r="110" spans="1:8">
      <c r="A110" s="72"/>
      <c r="B110" s="72"/>
      <c r="C110" s="72"/>
      <c r="D110" s="72"/>
      <c r="E110" s="72"/>
      <c r="F110" s="72"/>
      <c r="G110" s="72"/>
      <c r="H110" s="72"/>
    </row>
    <row r="111" spans="1:8">
      <c r="A111" s="72"/>
      <c r="B111" s="72"/>
      <c r="C111" s="72"/>
      <c r="D111" s="72"/>
      <c r="E111" s="72"/>
      <c r="F111" s="72"/>
      <c r="G111" s="72"/>
      <c r="H111" s="72"/>
    </row>
  </sheetData>
  <mergeCells count="4">
    <mergeCell ref="B6:E6"/>
    <mergeCell ref="F6:H6"/>
    <mergeCell ref="B60:E60"/>
    <mergeCell ref="F60:H6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zoomScale="85" zoomScaleNormal="85" workbookViewId="0"/>
  </sheetViews>
  <sheetFormatPr baseColWidth="10" defaultRowHeight="15"/>
  <cols>
    <col min="1" max="1" width="70.85546875" style="217" customWidth="1"/>
    <col min="2" max="2" width="10.7109375" customWidth="1"/>
    <col min="3" max="5" width="10.7109375" style="218" customWidth="1"/>
    <col min="6" max="8" width="10.7109375" customWidth="1"/>
    <col min="256" max="256" width="70.85546875" customWidth="1"/>
    <col min="257" max="264" width="10.7109375" customWidth="1"/>
    <col min="512" max="512" width="70.85546875" customWidth="1"/>
    <col min="513" max="520" width="10.7109375" customWidth="1"/>
    <col min="768" max="768" width="70.85546875" customWidth="1"/>
    <col min="769" max="776" width="10.7109375" customWidth="1"/>
    <col min="1024" max="1024" width="70.85546875" customWidth="1"/>
    <col min="1025" max="1032" width="10.7109375" customWidth="1"/>
    <col min="1280" max="1280" width="70.85546875" customWidth="1"/>
    <col min="1281" max="1288" width="10.7109375" customWidth="1"/>
    <col min="1536" max="1536" width="70.85546875" customWidth="1"/>
    <col min="1537" max="1544" width="10.7109375" customWidth="1"/>
    <col min="1792" max="1792" width="70.85546875" customWidth="1"/>
    <col min="1793" max="1800" width="10.7109375" customWidth="1"/>
    <col min="2048" max="2048" width="70.85546875" customWidth="1"/>
    <col min="2049" max="2056" width="10.7109375" customWidth="1"/>
    <col min="2304" max="2304" width="70.85546875" customWidth="1"/>
    <col min="2305" max="2312" width="10.7109375" customWidth="1"/>
    <col min="2560" max="2560" width="70.85546875" customWidth="1"/>
    <col min="2561" max="2568" width="10.7109375" customWidth="1"/>
    <col min="2816" max="2816" width="70.85546875" customWidth="1"/>
    <col min="2817" max="2824" width="10.7109375" customWidth="1"/>
    <col min="3072" max="3072" width="70.85546875" customWidth="1"/>
    <col min="3073" max="3080" width="10.7109375" customWidth="1"/>
    <col min="3328" max="3328" width="70.85546875" customWidth="1"/>
    <col min="3329" max="3336" width="10.7109375" customWidth="1"/>
    <col min="3584" max="3584" width="70.85546875" customWidth="1"/>
    <col min="3585" max="3592" width="10.7109375" customWidth="1"/>
    <col min="3840" max="3840" width="70.85546875" customWidth="1"/>
    <col min="3841" max="3848" width="10.7109375" customWidth="1"/>
    <col min="4096" max="4096" width="70.85546875" customWidth="1"/>
    <col min="4097" max="4104" width="10.7109375" customWidth="1"/>
    <col min="4352" max="4352" width="70.85546875" customWidth="1"/>
    <col min="4353" max="4360" width="10.7109375" customWidth="1"/>
    <col min="4608" max="4608" width="70.85546875" customWidth="1"/>
    <col min="4609" max="4616" width="10.7109375" customWidth="1"/>
    <col min="4864" max="4864" width="70.85546875" customWidth="1"/>
    <col min="4865" max="4872" width="10.7109375" customWidth="1"/>
    <col min="5120" max="5120" width="70.85546875" customWidth="1"/>
    <col min="5121" max="5128" width="10.7109375" customWidth="1"/>
    <col min="5376" max="5376" width="70.85546875" customWidth="1"/>
    <col min="5377" max="5384" width="10.7109375" customWidth="1"/>
    <col min="5632" max="5632" width="70.85546875" customWidth="1"/>
    <col min="5633" max="5640" width="10.7109375" customWidth="1"/>
    <col min="5888" max="5888" width="70.85546875" customWidth="1"/>
    <col min="5889" max="5896" width="10.7109375" customWidth="1"/>
    <col min="6144" max="6144" width="70.85546875" customWidth="1"/>
    <col min="6145" max="6152" width="10.7109375" customWidth="1"/>
    <col min="6400" max="6400" width="70.85546875" customWidth="1"/>
    <col min="6401" max="6408" width="10.7109375" customWidth="1"/>
    <col min="6656" max="6656" width="70.85546875" customWidth="1"/>
    <col min="6657" max="6664" width="10.7109375" customWidth="1"/>
    <col min="6912" max="6912" width="70.85546875" customWidth="1"/>
    <col min="6913" max="6920" width="10.7109375" customWidth="1"/>
    <col min="7168" max="7168" width="70.85546875" customWidth="1"/>
    <col min="7169" max="7176" width="10.7109375" customWidth="1"/>
    <col min="7424" max="7424" width="70.85546875" customWidth="1"/>
    <col min="7425" max="7432" width="10.7109375" customWidth="1"/>
    <col min="7680" max="7680" width="70.85546875" customWidth="1"/>
    <col min="7681" max="7688" width="10.7109375" customWidth="1"/>
    <col min="7936" max="7936" width="70.85546875" customWidth="1"/>
    <col min="7937" max="7944" width="10.7109375" customWidth="1"/>
    <col min="8192" max="8192" width="70.85546875" customWidth="1"/>
    <col min="8193" max="8200" width="10.7109375" customWidth="1"/>
    <col min="8448" max="8448" width="70.85546875" customWidth="1"/>
    <col min="8449" max="8456" width="10.7109375" customWidth="1"/>
    <col min="8704" max="8704" width="70.85546875" customWidth="1"/>
    <col min="8705" max="8712" width="10.7109375" customWidth="1"/>
    <col min="8960" max="8960" width="70.85546875" customWidth="1"/>
    <col min="8961" max="8968" width="10.7109375" customWidth="1"/>
    <col min="9216" max="9216" width="70.85546875" customWidth="1"/>
    <col min="9217" max="9224" width="10.7109375" customWidth="1"/>
    <col min="9472" max="9472" width="70.85546875" customWidth="1"/>
    <col min="9473" max="9480" width="10.7109375" customWidth="1"/>
    <col min="9728" max="9728" width="70.85546875" customWidth="1"/>
    <col min="9729" max="9736" width="10.7109375" customWidth="1"/>
    <col min="9984" max="9984" width="70.85546875" customWidth="1"/>
    <col min="9985" max="9992" width="10.7109375" customWidth="1"/>
    <col min="10240" max="10240" width="70.85546875" customWidth="1"/>
    <col min="10241" max="10248" width="10.7109375" customWidth="1"/>
    <col min="10496" max="10496" width="70.85546875" customWidth="1"/>
    <col min="10497" max="10504" width="10.7109375" customWidth="1"/>
    <col min="10752" max="10752" width="70.85546875" customWidth="1"/>
    <col min="10753" max="10760" width="10.7109375" customWidth="1"/>
    <col min="11008" max="11008" width="70.85546875" customWidth="1"/>
    <col min="11009" max="11016" width="10.7109375" customWidth="1"/>
    <col min="11264" max="11264" width="70.85546875" customWidth="1"/>
    <col min="11265" max="11272" width="10.7109375" customWidth="1"/>
    <col min="11520" max="11520" width="70.85546875" customWidth="1"/>
    <col min="11521" max="11528" width="10.7109375" customWidth="1"/>
    <col min="11776" max="11776" width="70.85546875" customWidth="1"/>
    <col min="11777" max="11784" width="10.7109375" customWidth="1"/>
    <col min="12032" max="12032" width="70.85546875" customWidth="1"/>
    <col min="12033" max="12040" width="10.7109375" customWidth="1"/>
    <col min="12288" max="12288" width="70.85546875" customWidth="1"/>
    <col min="12289" max="12296" width="10.7109375" customWidth="1"/>
    <col min="12544" max="12544" width="70.85546875" customWidth="1"/>
    <col min="12545" max="12552" width="10.7109375" customWidth="1"/>
    <col min="12800" max="12800" width="70.85546875" customWidth="1"/>
    <col min="12801" max="12808" width="10.7109375" customWidth="1"/>
    <col min="13056" max="13056" width="70.85546875" customWidth="1"/>
    <col min="13057" max="13064" width="10.7109375" customWidth="1"/>
    <col min="13312" max="13312" width="70.85546875" customWidth="1"/>
    <col min="13313" max="13320" width="10.7109375" customWidth="1"/>
    <col min="13568" max="13568" width="70.85546875" customWidth="1"/>
    <col min="13569" max="13576" width="10.7109375" customWidth="1"/>
    <col min="13824" max="13824" width="70.85546875" customWidth="1"/>
    <col min="13825" max="13832" width="10.7109375" customWidth="1"/>
    <col min="14080" max="14080" width="70.85546875" customWidth="1"/>
    <col min="14081" max="14088" width="10.7109375" customWidth="1"/>
    <col min="14336" max="14336" width="70.85546875" customWidth="1"/>
    <col min="14337" max="14344" width="10.7109375" customWidth="1"/>
    <col min="14592" max="14592" width="70.85546875" customWidth="1"/>
    <col min="14593" max="14600" width="10.7109375" customWidth="1"/>
    <col min="14848" max="14848" width="70.85546875" customWidth="1"/>
    <col min="14849" max="14856" width="10.7109375" customWidth="1"/>
    <col min="15104" max="15104" width="70.85546875" customWidth="1"/>
    <col min="15105" max="15112" width="10.7109375" customWidth="1"/>
    <col min="15360" max="15360" width="70.85546875" customWidth="1"/>
    <col min="15361" max="15368" width="10.7109375" customWidth="1"/>
    <col min="15616" max="15616" width="70.85546875" customWidth="1"/>
    <col min="15617" max="15624" width="10.7109375" customWidth="1"/>
    <col min="15872" max="15872" width="70.85546875" customWidth="1"/>
    <col min="15873" max="15880" width="10.7109375" customWidth="1"/>
    <col min="16128" max="16128" width="70.85546875" customWidth="1"/>
    <col min="16129" max="16136" width="10.7109375" customWidth="1"/>
  </cols>
  <sheetData>
    <row r="1" spans="1:9" ht="18">
      <c r="A1" s="197" t="str">
        <f>HLOOKUP(INDICE!$F$2,Nombres!$C$3:$E$853,25)</f>
        <v xml:space="preserve">Corporate Center </v>
      </c>
      <c r="B1" s="72"/>
      <c r="C1" s="72"/>
      <c r="D1" s="72"/>
      <c r="E1" s="72"/>
      <c r="F1" s="72"/>
      <c r="G1" s="72"/>
      <c r="H1" s="72"/>
    </row>
    <row r="2" spans="1:9">
      <c r="A2" s="72"/>
      <c r="B2" s="72"/>
      <c r="C2" s="72"/>
      <c r="D2" s="72"/>
      <c r="E2" s="72"/>
      <c r="F2" s="72"/>
      <c r="G2" s="72"/>
      <c r="H2" s="72"/>
    </row>
    <row r="3" spans="1:9" ht="18">
      <c r="A3" s="65" t="str">
        <f>HLOOKUP(INDICE!$F$2,Nombres!$C$3:$E$853,93)</f>
        <v xml:space="preserve">Income statement  </v>
      </c>
      <c r="B3" s="67"/>
      <c r="C3" s="199"/>
      <c r="D3" s="199"/>
      <c r="E3" s="199"/>
      <c r="F3" s="67"/>
      <c r="G3" s="67"/>
      <c r="H3" s="67"/>
    </row>
    <row r="4" spans="1:9">
      <c r="A4" s="68" t="str">
        <f>HLOOKUP(INDICE!$F$2,Nombres!$C$3:$E$853,30)</f>
        <v>(Million euros)</v>
      </c>
      <c r="B4" s="72"/>
      <c r="C4" s="200"/>
      <c r="D4" s="200"/>
      <c r="E4" s="200"/>
      <c r="F4" s="72"/>
      <c r="G4" s="72"/>
      <c r="H4" s="72"/>
    </row>
    <row r="5" spans="1:9">
      <c r="A5" s="219"/>
      <c r="B5" s="72"/>
      <c r="C5" s="211"/>
      <c r="D5" s="211"/>
      <c r="E5" s="211"/>
      <c r="F5" s="72"/>
      <c r="G5" s="72"/>
      <c r="H5" s="72"/>
    </row>
    <row r="6" spans="1:9" ht="15.75">
      <c r="A6" s="73"/>
      <c r="B6" s="315">
        <v>2017</v>
      </c>
      <c r="C6" s="316"/>
      <c r="D6" s="316"/>
      <c r="E6" s="316"/>
      <c r="F6" s="315">
        <v>2018</v>
      </c>
      <c r="G6" s="316"/>
      <c r="H6" s="316"/>
    </row>
    <row r="7" spans="1:9" ht="15.75">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row>
    <row r="8" spans="1:9">
      <c r="A8" s="139" t="str">
        <f>HLOOKUP(INDICE!$F$2,Nombres!$C$3:$E$853,38)</f>
        <v>Net interest income</v>
      </c>
      <c r="B8" s="202">
        <v>-110.34201415999996</v>
      </c>
      <c r="C8" s="77">
        <v>-79.684686460000023</v>
      </c>
      <c r="D8" s="77">
        <v>-84.167869850000045</v>
      </c>
      <c r="E8" s="203">
        <v>-82.609069930000004</v>
      </c>
      <c r="F8" s="77">
        <v>-67.84846232000001</v>
      </c>
      <c r="G8" s="77">
        <v>-72.450680320000018</v>
      </c>
      <c r="H8" s="77">
        <v>-69.737727640000017</v>
      </c>
      <c r="I8" s="129"/>
    </row>
    <row r="9" spans="1:9">
      <c r="A9" s="125" t="str">
        <f>HLOOKUP(INDICE!$F$2,Nombres!$C$3:$E$853,39)</f>
        <v>Net fees and commissions</v>
      </c>
      <c r="B9" s="204">
        <v>-5.0537189000000104</v>
      </c>
      <c r="C9" s="82">
        <v>-42.327879229999958</v>
      </c>
      <c r="D9" s="82">
        <v>-18.556461530000021</v>
      </c>
      <c r="E9" s="205">
        <v>-20.441589530000105</v>
      </c>
      <c r="F9" s="82">
        <v>-7.4520936599999992</v>
      </c>
      <c r="G9" s="82">
        <v>-24.889932850000008</v>
      </c>
      <c r="H9" s="82">
        <v>-17.719620209999995</v>
      </c>
      <c r="I9" s="129"/>
    </row>
    <row r="10" spans="1:9">
      <c r="A10" s="125" t="str">
        <f>HLOOKUP(INDICE!$F$2,Nombres!$C$3:$E$853,40)</f>
        <v>Net trading income</v>
      </c>
      <c r="B10" s="204">
        <v>212.76564343000004</v>
      </c>
      <c r="C10" s="82">
        <v>30.873584740000009</v>
      </c>
      <c r="D10" s="82">
        <v>49.63459996000001</v>
      </c>
      <c r="E10" s="205">
        <v>142.96202549</v>
      </c>
      <c r="F10" s="82">
        <v>-23.778740490000018</v>
      </c>
      <c r="G10" s="82">
        <v>-33.948557269999945</v>
      </c>
      <c r="H10" s="82">
        <v>-37.94367334999999</v>
      </c>
      <c r="I10" s="129"/>
    </row>
    <row r="11" spans="1:9">
      <c r="A11" s="125" t="str">
        <f>HLOOKUP(INDICE!$F$2,Nombres!$C$3:$E$853,95)</f>
        <v>Other operating income and expenses</v>
      </c>
      <c r="B11" s="204">
        <v>-27.429772260000014</v>
      </c>
      <c r="C11" s="82">
        <v>64.194750649999975</v>
      </c>
      <c r="D11" s="82">
        <v>-2.6075615999999719</v>
      </c>
      <c r="E11" s="205">
        <v>46.22089484</v>
      </c>
      <c r="F11" s="82">
        <v>-6.7097835700000203</v>
      </c>
      <c r="G11" s="82">
        <v>41.432098110000098</v>
      </c>
      <c r="H11" s="82">
        <v>-4.0700549700000561</v>
      </c>
      <c r="I11" s="129"/>
    </row>
    <row r="12" spans="1:9">
      <c r="A12" s="139" t="str">
        <f>HLOOKUP(INDICE!$F$2,Nombres!$C$3:$E$853,44)</f>
        <v>Gross income</v>
      </c>
      <c r="B12" s="202">
        <v>69.940138110000021</v>
      </c>
      <c r="C12" s="77">
        <v>-26.944230300000015</v>
      </c>
      <c r="D12" s="77">
        <v>-55.697293019999996</v>
      </c>
      <c r="E12" s="203">
        <v>86.132260869999868</v>
      </c>
      <c r="F12" s="77">
        <v>-105.78908004000002</v>
      </c>
      <c r="G12" s="77">
        <v>-89.857072329999852</v>
      </c>
      <c r="H12" s="77">
        <v>-129.47107617000006</v>
      </c>
      <c r="I12" s="129"/>
    </row>
    <row r="13" spans="1:9">
      <c r="A13" s="125" t="str">
        <f>HLOOKUP(INDICE!$F$2,Nombres!$C$3:$E$853,45)</f>
        <v>Operating expenses</v>
      </c>
      <c r="B13" s="204">
        <v>-208.79955893472601</v>
      </c>
      <c r="C13" s="82">
        <v>-232.54362387472599</v>
      </c>
      <c r="D13" s="82">
        <v>-220.19436806472598</v>
      </c>
      <c r="E13" s="205">
        <v>-226.89324868472602</v>
      </c>
      <c r="F13" s="82">
        <v>-224.19103488000019</v>
      </c>
      <c r="G13" s="82">
        <v>-235.31729562999982</v>
      </c>
      <c r="H13" s="82">
        <v>-236.94093543</v>
      </c>
      <c r="I13" s="129"/>
    </row>
    <row r="14" spans="1:9">
      <c r="A14" s="125" t="str">
        <f>HLOOKUP(INDICE!$F$2,Nombres!$C$3:$E$853,46)</f>
        <v xml:space="preserve">  Administration expenses</v>
      </c>
      <c r="B14" s="204">
        <v>-132.956037624076</v>
      </c>
      <c r="C14" s="82">
        <v>-154.758746804076</v>
      </c>
      <c r="D14" s="82">
        <v>-148.08230906407596</v>
      </c>
      <c r="E14" s="205">
        <v>-156.02723803407602</v>
      </c>
      <c r="F14" s="82">
        <v>-164.56642801000021</v>
      </c>
      <c r="G14" s="82">
        <v>-182.48147163999982</v>
      </c>
      <c r="H14" s="82">
        <v>-185.21023522000002</v>
      </c>
      <c r="I14" s="129"/>
    </row>
    <row r="15" spans="1:9">
      <c r="A15" s="141" t="str">
        <f>HLOOKUP(INDICE!$F$2,Nombres!$C$3:$E$853,47)</f>
        <v xml:space="preserve">  Personnel expenses</v>
      </c>
      <c r="B15" s="204">
        <v>-117.50881587012699</v>
      </c>
      <c r="C15" s="82">
        <v>-125.47576440012701</v>
      </c>
      <c r="D15" s="82">
        <v>-116.22572684012701</v>
      </c>
      <c r="E15" s="205">
        <v>-136.29687084012701</v>
      </c>
      <c r="F15" s="82">
        <v>-123.10955505000018</v>
      </c>
      <c r="G15" s="82">
        <v>-122.33730654999982</v>
      </c>
      <c r="H15" s="82">
        <v>-128.45056554000001</v>
      </c>
      <c r="I15" s="129"/>
    </row>
    <row r="16" spans="1:9">
      <c r="A16" s="141" t="str">
        <f>HLOOKUP(INDICE!$F$2,Nombres!$C$3:$E$853,48)</f>
        <v xml:space="preserve">  General and administrative expenses</v>
      </c>
      <c r="B16" s="204">
        <v>-15.447221753949012</v>
      </c>
      <c r="C16" s="82">
        <v>-29.282982403948999</v>
      </c>
      <c r="D16" s="82">
        <v>-31.856582223948969</v>
      </c>
      <c r="E16" s="205">
        <v>-19.730367193949021</v>
      </c>
      <c r="F16" s="82">
        <v>-41.456872960000013</v>
      </c>
      <c r="G16" s="82">
        <v>-60.144165090000016</v>
      </c>
      <c r="H16" s="82">
        <v>-56.759669680000002</v>
      </c>
      <c r="I16" s="129"/>
    </row>
    <row r="17" spans="1:9">
      <c r="A17" s="125" t="str">
        <f>HLOOKUP(INDICE!$F$2,Nombres!$C$3:$E$853,49)</f>
        <v xml:space="preserve">  Depreciation</v>
      </c>
      <c r="B17" s="204">
        <v>-75.843521310650004</v>
      </c>
      <c r="C17" s="82">
        <v>-77.784877070649983</v>
      </c>
      <c r="D17" s="82">
        <v>-72.112059000650007</v>
      </c>
      <c r="E17" s="205">
        <v>-70.866010650649997</v>
      </c>
      <c r="F17" s="82">
        <v>-59.624606870000001</v>
      </c>
      <c r="G17" s="82">
        <v>-52.835823990000002</v>
      </c>
      <c r="H17" s="82">
        <v>-51.730700210000002</v>
      </c>
      <c r="I17" s="129"/>
    </row>
    <row r="18" spans="1:9">
      <c r="A18" s="139" t="str">
        <f>HLOOKUP(INDICE!$F$2,Nombres!$C$3:$E$853,50)</f>
        <v>Operating income</v>
      </c>
      <c r="B18" s="202">
        <v>-138.85942082472599</v>
      </c>
      <c r="C18" s="77">
        <v>-259.48785417472601</v>
      </c>
      <c r="D18" s="77">
        <v>-275.89166108472602</v>
      </c>
      <c r="E18" s="203">
        <v>-140.76098781472615</v>
      </c>
      <c r="F18" s="77">
        <v>-329.98011492000018</v>
      </c>
      <c r="G18" s="77">
        <v>-325.1743679599997</v>
      </c>
      <c r="H18" s="77">
        <v>-366.41201160000008</v>
      </c>
      <c r="I18" s="129"/>
    </row>
    <row r="19" spans="1:9">
      <c r="A19" s="125" t="str">
        <f>HLOOKUP(INDICE!$F$2,Nombres!$C$3:$E$853,51)</f>
        <v>Impaiment on financial assets not measured at fair value through profit or loss</v>
      </c>
      <c r="B19" s="204">
        <v>0.71167996000000011</v>
      </c>
      <c r="C19" s="82">
        <v>-1.3423935400000002</v>
      </c>
      <c r="D19" s="82">
        <v>-0.15964563999999989</v>
      </c>
      <c r="E19" s="205">
        <v>-1123.9950337900002</v>
      </c>
      <c r="F19" s="82">
        <v>-8.7633669999944874E-2</v>
      </c>
      <c r="G19" s="82">
        <v>2.3966399999950819E-2</v>
      </c>
      <c r="H19" s="82">
        <v>0.10571890000010713</v>
      </c>
      <c r="I19" s="129"/>
    </row>
    <row r="20" spans="1:9">
      <c r="A20" s="125" t="str">
        <f>HLOOKUP(INDICE!$F$2,Nombres!$C$3:$E$853,160)</f>
        <v>Provisions or reversal of provisions and other results</v>
      </c>
      <c r="B20" s="204">
        <v>-6.9441782099999969</v>
      </c>
      <c r="C20" s="82">
        <v>-41.593285829999999</v>
      </c>
      <c r="D20" s="82">
        <v>-9.1856967600000008</v>
      </c>
      <c r="E20" s="205">
        <v>-15.656575140000005</v>
      </c>
      <c r="F20" s="82">
        <v>-63.417974029999989</v>
      </c>
      <c r="G20" s="82">
        <v>-15.358892030000025</v>
      </c>
      <c r="H20" s="82">
        <v>23.319639489999979</v>
      </c>
      <c r="I20" s="129"/>
    </row>
    <row r="21" spans="1:9">
      <c r="A21" s="139" t="str">
        <f>HLOOKUP(INDICE!$F$2,Nombres!$C$3:$E$853,54)</f>
        <v>Profit/(loss) before tax</v>
      </c>
      <c r="B21" s="202">
        <v>-145.09191907472598</v>
      </c>
      <c r="C21" s="77">
        <v>-302.42353354472596</v>
      </c>
      <c r="D21" s="77">
        <v>-285.23700348472607</v>
      </c>
      <c r="E21" s="203">
        <v>-1280.4125967447264</v>
      </c>
      <c r="F21" s="77">
        <v>-393.48572262000016</v>
      </c>
      <c r="G21" s="77">
        <v>-340.5092935899998</v>
      </c>
      <c r="H21" s="77">
        <v>-342.98665320999999</v>
      </c>
      <c r="I21" s="129"/>
    </row>
    <row r="22" spans="1:9">
      <c r="A22" s="125" t="str">
        <f>HLOOKUP(INDICE!$F$2,Nombres!$C$3:$E$853,55)</f>
        <v>Income tax</v>
      </c>
      <c r="B22" s="204">
        <v>21.735077869999991</v>
      </c>
      <c r="C22" s="82">
        <v>38.970289129999983</v>
      </c>
      <c r="D22" s="82">
        <v>30.999595410000012</v>
      </c>
      <c r="E22" s="205">
        <v>74.234155860000044</v>
      </c>
      <c r="F22" s="82">
        <v>98.068113780000004</v>
      </c>
      <c r="G22" s="82">
        <v>59.941338209999984</v>
      </c>
      <c r="H22" s="82">
        <v>94.840652670000011</v>
      </c>
      <c r="I22" s="129"/>
    </row>
    <row r="23" spans="1:9">
      <c r="A23" s="139" t="str">
        <f>HLOOKUP(INDICE!$F$2,Nombres!$C$3:$E$853,424)</f>
        <v>Result after continuing operation tax</v>
      </c>
      <c r="B23" s="299">
        <v>-123.35684120472598</v>
      </c>
      <c r="C23" s="255">
        <v>-263.45324441472604</v>
      </c>
      <c r="D23" s="255">
        <v>-254.23740807472603</v>
      </c>
      <c r="E23" s="255">
        <v>-1206.1784408847261</v>
      </c>
      <c r="F23" s="299">
        <v>-295.41760884000018</v>
      </c>
      <c r="G23" s="255">
        <v>-280.56795537999966</v>
      </c>
      <c r="H23" s="255">
        <v>-248.14600053999999</v>
      </c>
      <c r="I23" s="129"/>
    </row>
    <row r="24" spans="1:9">
      <c r="A24" s="125" t="str">
        <f>HLOOKUP(INDICE!$F$2,Nombres!$C$3:$E$853,270)</f>
        <v>Result from corporate operations</v>
      </c>
      <c r="B24" s="228" t="s">
        <v>744</v>
      </c>
      <c r="C24" s="82" t="s">
        <v>744</v>
      </c>
      <c r="D24" s="82" t="s">
        <v>744</v>
      </c>
      <c r="E24" s="82" t="s">
        <v>744</v>
      </c>
      <c r="F24" s="228" t="s">
        <v>744</v>
      </c>
      <c r="G24" s="82" t="s">
        <v>744</v>
      </c>
      <c r="H24" s="82">
        <v>633.30499999999995</v>
      </c>
      <c r="I24" s="129"/>
    </row>
    <row r="25" spans="1:9">
      <c r="A25" s="139" t="str">
        <f>HLOOKUP(INDICE!$F$2,Nombres!$C$3:$E$853,56)</f>
        <v>Profit/(loss) for the year</v>
      </c>
      <c r="B25" s="202">
        <v>-123.35684120472598</v>
      </c>
      <c r="C25" s="77">
        <v>-263.45324441472604</v>
      </c>
      <c r="D25" s="77">
        <v>-254.23740807472603</v>
      </c>
      <c r="E25" s="203">
        <v>-1206.1784408847261</v>
      </c>
      <c r="F25" s="77">
        <v>-295.41760884000018</v>
      </c>
      <c r="G25" s="77">
        <v>-280.56795537999966</v>
      </c>
      <c r="H25" s="77">
        <v>385.15899946000008</v>
      </c>
      <c r="I25" s="129"/>
    </row>
    <row r="26" spans="1:9" s="86" customFormat="1">
      <c r="A26" s="125" t="str">
        <f>HLOOKUP(INDICE!$F$2,Nombres!$C$3:$E$853,57)</f>
        <v>Non-controlling interests</v>
      </c>
      <c r="B26" s="204">
        <v>0.93217816000000009</v>
      </c>
      <c r="C26" s="82">
        <v>-16.032401529999998</v>
      </c>
      <c r="D26" s="82">
        <v>0.63567688999999783</v>
      </c>
      <c r="E26" s="205">
        <v>13.219052860000001</v>
      </c>
      <c r="F26" s="82">
        <v>-0.1313016600000001</v>
      </c>
      <c r="G26" s="82">
        <v>-10.105461850000001</v>
      </c>
      <c r="H26" s="82">
        <v>13.485007550000001</v>
      </c>
      <c r="I26" s="220"/>
    </row>
    <row r="27" spans="1:9">
      <c r="A27" s="206" t="str">
        <f>HLOOKUP(INDICE!$F$2,Nombres!$C$3:$E$853,58)</f>
        <v>Net attributable profit</v>
      </c>
      <c r="B27" s="207">
        <v>-122.42466304472597</v>
      </c>
      <c r="C27" s="208">
        <v>-279.485645944726</v>
      </c>
      <c r="D27" s="208">
        <v>-253.60173118472602</v>
      </c>
      <c r="E27" s="209">
        <v>-1192.9593880247262</v>
      </c>
      <c r="F27" s="208">
        <v>-295.54891050000015</v>
      </c>
      <c r="G27" s="208">
        <v>-290.67341722999976</v>
      </c>
      <c r="H27" s="208">
        <v>398.64400701000005</v>
      </c>
      <c r="I27" s="129"/>
    </row>
    <row r="28" spans="1:9">
      <c r="A28" s="206" t="str">
        <f>HLOOKUP(INDICE!$F$2,Nombres!$C$3:$E$853,317)</f>
        <v xml:space="preserve"> Attributable profit without corporate transactions </v>
      </c>
      <c r="B28" s="207">
        <v>-122.42466304472597</v>
      </c>
      <c r="C28" s="207">
        <v>-279.485645944726</v>
      </c>
      <c r="D28" s="207">
        <v>-253.60173118472602</v>
      </c>
      <c r="E28" s="207">
        <v>-1192.9593880247262</v>
      </c>
      <c r="F28" s="207">
        <v>-295.54891050000015</v>
      </c>
      <c r="G28" s="207">
        <v>-290.67341722999976</v>
      </c>
      <c r="H28" s="207">
        <v>-234.66099299000001</v>
      </c>
      <c r="I28" s="129"/>
    </row>
    <row r="29" spans="1:9" ht="28.5" customHeight="1">
      <c r="A29" s="314" t="str">
        <f>HLOOKUP(INDICE!$F$2,Nombres!$C$3:$E$853,426)</f>
        <v>(*) Includes net capital gains from the sale of BBVA Chile.</v>
      </c>
      <c r="B29" s="314" t="str">
        <f>HLOOKUP(INDICE!$F$2,Nombres!$C$3:$E$853,57)</f>
        <v>Non-controlling interests</v>
      </c>
      <c r="C29" s="314" t="str">
        <f>HLOOKUP(INDICE!$F$2,Nombres!$C$3:$E$853,57)</f>
        <v>Non-controlling interests</v>
      </c>
      <c r="D29" s="314" t="str">
        <f>HLOOKUP(INDICE!$F$2,Nombres!$C$3:$E$853,57)</f>
        <v>Non-controlling interests</v>
      </c>
      <c r="E29" s="314" t="str">
        <f>HLOOKUP(INDICE!$F$2,Nombres!$C$3:$E$853,57)</f>
        <v>Non-controlling interests</v>
      </c>
      <c r="F29" s="314" t="str">
        <f>HLOOKUP(INDICE!$F$2,Nombres!$C$3:$E$853,57)</f>
        <v>Non-controlling interests</v>
      </c>
      <c r="G29" s="314" t="str">
        <f>HLOOKUP(INDICE!$F$2,Nombres!$C$3:$E$853,57)</f>
        <v>Non-controlling interests</v>
      </c>
      <c r="H29" s="314" t="str">
        <f>HLOOKUP(INDICE!$F$2,Nombres!$C$3:$E$853,57)</f>
        <v>Non-controlling interests</v>
      </c>
      <c r="I29" s="129"/>
    </row>
    <row r="30" spans="1:9">
      <c r="A30" s="72"/>
      <c r="B30" s="72"/>
      <c r="C30" s="72"/>
      <c r="D30" s="72"/>
      <c r="E30" s="72"/>
      <c r="F30" s="72"/>
      <c r="G30" s="72"/>
      <c r="H30" s="72"/>
      <c r="I30" s="129"/>
    </row>
    <row r="31" spans="1:9" ht="18" customHeight="1">
      <c r="A31" s="65" t="str">
        <f>HLOOKUP(INDICE!$F$2,Nombres!$C$3:$E$853,94)</f>
        <v>Balance sheets</v>
      </c>
      <c r="B31" s="67"/>
      <c r="C31" s="67"/>
      <c r="D31" s="67"/>
      <c r="E31" s="67"/>
      <c r="F31" s="221"/>
      <c r="G31" s="210"/>
      <c r="H31" s="210"/>
      <c r="I31" s="129"/>
    </row>
    <row r="32" spans="1:9">
      <c r="A32" s="68" t="str">
        <f>HLOOKUP(INDICE!$F$2,Nombres!$C$3:$E$853,30)</f>
        <v>(Million euros)</v>
      </c>
      <c r="B32" s="72"/>
      <c r="C32" s="211"/>
      <c r="D32" s="211"/>
      <c r="E32" s="211"/>
      <c r="F32" s="219"/>
      <c r="G32" s="219"/>
      <c r="H32" s="212"/>
      <c r="I32" s="129"/>
    </row>
    <row r="33" spans="1:14" ht="15.75">
      <c r="A33" s="72"/>
      <c r="B33" s="59">
        <v>42825</v>
      </c>
      <c r="C33" s="59">
        <v>42916</v>
      </c>
      <c r="D33" s="59">
        <v>43008</v>
      </c>
      <c r="E33" s="59">
        <v>43100</v>
      </c>
      <c r="F33" s="59">
        <v>43190</v>
      </c>
      <c r="G33" s="59">
        <v>43281</v>
      </c>
      <c r="H33" s="59">
        <v>43373</v>
      </c>
      <c r="I33" s="196"/>
    </row>
    <row r="34" spans="1:14">
      <c r="A34" s="125" t="str">
        <f>HLOOKUP(INDICE!$F$2,Nombres!$C$3:$E$853,100)</f>
        <v>Cash, cash balances at central banks and other demand deposits</v>
      </c>
      <c r="B34" s="82">
        <v>2.4310139999979583</v>
      </c>
      <c r="C34" s="82">
        <v>2.4938699999984237</v>
      </c>
      <c r="D34" s="82">
        <v>3.9571460000006482</v>
      </c>
      <c r="E34" s="82">
        <v>4.9728760000034526</v>
      </c>
      <c r="F34" s="82">
        <v>315.48594799999591</v>
      </c>
      <c r="G34" s="82">
        <v>103.73539099000698</v>
      </c>
      <c r="H34" s="82">
        <v>73.11058500999934</v>
      </c>
      <c r="I34" s="173"/>
      <c r="J34" s="173"/>
      <c r="K34" s="222"/>
      <c r="L34" s="173"/>
      <c r="M34" s="173"/>
      <c r="N34" s="129"/>
    </row>
    <row r="35" spans="1:14">
      <c r="A35" s="125" t="str">
        <f>HLOOKUP(INDICE!$F$2,Nombres!$C$3:$E$853,101)</f>
        <v xml:space="preserve">Financial assets designated at fair value </v>
      </c>
      <c r="B35" s="82">
        <v>2131.4681206599635</v>
      </c>
      <c r="C35" s="82">
        <v>1784.0712322299951</v>
      </c>
      <c r="D35" s="82">
        <v>1771.6154743799707</v>
      </c>
      <c r="E35" s="82">
        <v>2513.6717259599136</v>
      </c>
      <c r="F35" s="82">
        <v>3345.5281358900047</v>
      </c>
      <c r="G35" s="82">
        <v>5385.8260815700105</v>
      </c>
      <c r="H35" s="82">
        <v>4101.1365921200486</v>
      </c>
      <c r="I35" s="173"/>
      <c r="J35" s="173"/>
      <c r="K35" s="222"/>
      <c r="L35" s="173"/>
      <c r="M35" s="173"/>
    </row>
    <row r="36" spans="1:14">
      <c r="A36" s="125" t="str">
        <f>HLOOKUP(INDICE!$F$2,Nombres!$C$3:$E$853,406)</f>
        <v>Financial assets at amortized cost</v>
      </c>
      <c r="B36" s="82">
        <v>-3.9839069359004498E-6</v>
      </c>
      <c r="C36" s="82">
        <v>7.0000115665607154E-3</v>
      </c>
      <c r="D36" s="82">
        <v>0</v>
      </c>
      <c r="E36" s="82">
        <v>0</v>
      </c>
      <c r="F36" s="82">
        <v>0</v>
      </c>
      <c r="G36" s="82">
        <v>0</v>
      </c>
      <c r="H36" s="82">
        <v>0</v>
      </c>
      <c r="I36" s="173"/>
      <c r="J36" s="173"/>
      <c r="K36" s="222"/>
      <c r="L36" s="173"/>
      <c r="M36" s="173"/>
    </row>
    <row r="37" spans="1:14">
      <c r="A37" s="125" t="str">
        <f>HLOOKUP(INDICE!$F$2,Nombres!$C$3:$E$853,103)</f>
        <v xml:space="preserve">    of which loans and advances to customers</v>
      </c>
      <c r="B37" s="82">
        <v>-3.9838487282395363E-6</v>
      </c>
      <c r="C37" s="82">
        <v>4.1000011668074876E-2</v>
      </c>
      <c r="D37" s="82">
        <v>0</v>
      </c>
      <c r="E37" s="82">
        <v>1.9934304873459041E-8</v>
      </c>
      <c r="F37" s="82">
        <v>0</v>
      </c>
      <c r="G37" s="82">
        <v>0</v>
      </c>
      <c r="H37" s="82">
        <v>0</v>
      </c>
      <c r="I37" s="173"/>
      <c r="J37" s="173"/>
      <c r="K37" s="222"/>
      <c r="L37" s="173"/>
      <c r="M37" s="173"/>
    </row>
    <row r="38" spans="1:14">
      <c r="A38" s="125" t="str">
        <f>HLOOKUP(INDICE!$F$2,Nombres!$C$3:$E$853,105)</f>
        <v>Inter-area positions</v>
      </c>
      <c r="B38" s="82">
        <v>-6725.2507870695554</v>
      </c>
      <c r="C38" s="82">
        <v>-5025.0319091923302</v>
      </c>
      <c r="D38" s="82">
        <v>-3443.3697942685685</v>
      </c>
      <c r="E38" s="82">
        <v>-1500.7812702887459</v>
      </c>
      <c r="F38" s="82">
        <v>-1896.8273454197915</v>
      </c>
      <c r="G38" s="82">
        <v>-5319.2131780501222</v>
      </c>
      <c r="H38" s="82">
        <v>-4276.4949032700388</v>
      </c>
      <c r="I38" s="173"/>
      <c r="J38" s="173"/>
      <c r="K38" s="222"/>
      <c r="L38" s="173"/>
      <c r="M38" s="173"/>
    </row>
    <row r="39" spans="1:14">
      <c r="A39" s="125" t="str">
        <f>HLOOKUP(INDICE!$F$2,Nombres!$C$3:$E$853,106)</f>
        <v>Tangible assets</v>
      </c>
      <c r="B39" s="82">
        <v>2001.7610369999993</v>
      </c>
      <c r="C39" s="82">
        <v>1961.2871590000004</v>
      </c>
      <c r="D39" s="82">
        <v>1928.819426</v>
      </c>
      <c r="E39" s="82">
        <v>1893.1891799999992</v>
      </c>
      <c r="F39" s="82">
        <v>1660.8127050000003</v>
      </c>
      <c r="G39" s="82">
        <v>1644.5766450000001</v>
      </c>
      <c r="H39" s="82">
        <v>1580.9106709999996</v>
      </c>
      <c r="I39" s="173"/>
      <c r="J39" s="173"/>
      <c r="K39" s="222"/>
      <c r="L39" s="173"/>
      <c r="M39" s="173"/>
    </row>
    <row r="40" spans="1:14">
      <c r="A40" s="125" t="str">
        <f>HLOOKUP(INDICE!$F$2,Nombres!$C$3:$E$853,107)</f>
        <v>Other assets</v>
      </c>
      <c r="B40" s="82">
        <v>20152.132236960009</v>
      </c>
      <c r="C40" s="82">
        <v>19938.695293580022</v>
      </c>
      <c r="D40" s="82">
        <v>15114.211635010019</v>
      </c>
      <c r="E40" s="82">
        <v>17585.469185740032</v>
      </c>
      <c r="F40" s="82">
        <v>21238.869324719992</v>
      </c>
      <c r="G40" s="82">
        <v>20433.502079299957</v>
      </c>
      <c r="H40" s="82">
        <v>22331.995344829993</v>
      </c>
      <c r="I40" s="173"/>
      <c r="J40" s="173"/>
      <c r="K40" s="222"/>
      <c r="L40" s="173"/>
      <c r="M40" s="173"/>
    </row>
    <row r="41" spans="1:14">
      <c r="A41" s="206" t="str">
        <f>HLOOKUP(INDICE!$F$2,Nombres!$C$3:$E$853,108)</f>
        <v>Total assets / Liabilities and equity</v>
      </c>
      <c r="B41" s="208">
        <v>17562.541617566487</v>
      </c>
      <c r="C41" s="208">
        <v>18661.52264562936</v>
      </c>
      <c r="D41" s="208">
        <v>15375.233887121431</v>
      </c>
      <c r="E41" s="208">
        <v>20496.521697411205</v>
      </c>
      <c r="F41" s="208">
        <v>24663.868768190201</v>
      </c>
      <c r="G41" s="208">
        <v>22248.427018809849</v>
      </c>
      <c r="H41" s="208">
        <v>23810.657276739832</v>
      </c>
      <c r="I41" s="173"/>
      <c r="J41" s="173"/>
      <c r="K41" s="222"/>
      <c r="L41" s="173"/>
      <c r="M41" s="173"/>
    </row>
    <row r="42" spans="1:14">
      <c r="A42" s="125" t="str">
        <f>HLOOKUP(INDICE!$F$2,Nombres!$C$3:$E$853,111)</f>
        <v>Financial liabilities held for trading and designated at fair value through profit or loss</v>
      </c>
      <c r="B42" s="82">
        <v>0</v>
      </c>
      <c r="C42" s="82">
        <v>0</v>
      </c>
      <c r="D42" s="82">
        <v>0</v>
      </c>
      <c r="E42" s="82">
        <v>1.9554136088117957E-11</v>
      </c>
      <c r="F42" s="82">
        <v>7.9799999093665974E-4</v>
      </c>
      <c r="G42" s="82">
        <v>0</v>
      </c>
      <c r="H42" s="82">
        <v>0</v>
      </c>
      <c r="I42" s="223"/>
      <c r="J42" s="173"/>
      <c r="K42" s="222"/>
      <c r="L42" s="173"/>
      <c r="M42" s="173"/>
    </row>
    <row r="43" spans="1:14">
      <c r="A43" s="125" t="str">
        <f>HLOOKUP(INDICE!$F$2,Nombres!$C$3:$E$853,109)</f>
        <v>Deposits from central banks and credit institutions</v>
      </c>
      <c r="B43" s="82">
        <v>6.1599959735758603E-4</v>
      </c>
      <c r="C43" s="82">
        <v>11.280000004684553</v>
      </c>
      <c r="D43" s="82">
        <v>-3.6234268918633461E-9</v>
      </c>
      <c r="E43" s="82">
        <v>0.14789599670575626</v>
      </c>
      <c r="F43" s="82">
        <v>0</v>
      </c>
      <c r="G43" s="82">
        <v>0</v>
      </c>
      <c r="H43" s="82">
        <v>0</v>
      </c>
      <c r="I43" s="223"/>
      <c r="J43" s="173"/>
      <c r="K43" s="222"/>
      <c r="L43" s="173"/>
      <c r="M43" s="173"/>
    </row>
    <row r="44" spans="1:14">
      <c r="A44" s="125" t="str">
        <f>HLOOKUP(INDICE!$F$2,Nombres!$C$3:$E$853,110)</f>
        <v>Deposits from customers</v>
      </c>
      <c r="B44" s="82">
        <v>0</v>
      </c>
      <c r="C44" s="82">
        <v>0</v>
      </c>
      <c r="D44" s="82">
        <v>0</v>
      </c>
      <c r="E44" s="82">
        <v>9.8992313724011183E-7</v>
      </c>
      <c r="F44" s="82">
        <v>0.19310720993235009</v>
      </c>
      <c r="G44" s="82">
        <v>0</v>
      </c>
      <c r="H44" s="82">
        <v>0</v>
      </c>
      <c r="I44" s="223"/>
      <c r="J44" s="173"/>
      <c r="K44" s="222"/>
      <c r="L44" s="173"/>
      <c r="M44" s="173"/>
    </row>
    <row r="45" spans="1:14">
      <c r="A45" s="125" t="str">
        <f>HLOOKUP(INDICE!$F$2,Nombres!$C$3:$E$853,112)</f>
        <v>Debt certificates</v>
      </c>
      <c r="B45" s="82">
        <v>9692.4112039667889</v>
      </c>
      <c r="C45" s="82">
        <v>9245.3454149897007</v>
      </c>
      <c r="D45" s="82">
        <v>8988.5105689888005</v>
      </c>
      <c r="E45" s="82">
        <v>8772.1814749801524</v>
      </c>
      <c r="F45" s="82">
        <v>8490.6757979499853</v>
      </c>
      <c r="G45" s="82">
        <v>8086.1410268799928</v>
      </c>
      <c r="H45" s="82">
        <v>9060.188504999991</v>
      </c>
      <c r="I45" s="223"/>
      <c r="J45" s="173"/>
      <c r="K45" s="222"/>
      <c r="L45" s="173"/>
      <c r="M45" s="173"/>
    </row>
    <row r="46" spans="1:14">
      <c r="A46" s="125" t="str">
        <f>HLOOKUP(INDICE!$F$2,Nombres!$C$3:$E$853,113)</f>
        <v>Inter-area positions</v>
      </c>
      <c r="B46" s="82">
        <v>-20865.246250264998</v>
      </c>
      <c r="C46" s="82">
        <v>-18270.378532351904</v>
      </c>
      <c r="D46" s="82">
        <v>-21667.797993626693</v>
      </c>
      <c r="E46" s="82">
        <v>-16383.570062233954</v>
      </c>
      <c r="F46" s="82">
        <v>-12535.10379734964</v>
      </c>
      <c r="G46" s="82">
        <v>-15681.361335490015</v>
      </c>
      <c r="H46" s="82">
        <v>-16030.029836720016</v>
      </c>
      <c r="I46" s="223"/>
      <c r="J46" s="173"/>
      <c r="K46" s="222"/>
      <c r="L46" s="173"/>
      <c r="M46" s="173"/>
    </row>
    <row r="47" spans="1:14">
      <c r="A47" s="125" t="str">
        <f>HLOOKUP(INDICE!$F$2,Nombres!$C$3:$E$853,115)</f>
        <v>Other liabilities</v>
      </c>
      <c r="B47" s="82">
        <v>2098.3635373851348</v>
      </c>
      <c r="C47" s="82">
        <v>650.99816113676843</v>
      </c>
      <c r="D47" s="82">
        <v>478.64554995300296</v>
      </c>
      <c r="E47" s="82">
        <v>442.77146229856089</v>
      </c>
      <c r="F47" s="82">
        <v>2.1119999901202391E-3</v>
      </c>
      <c r="G47" s="82">
        <v>108.88694153987853</v>
      </c>
      <c r="H47" s="82">
        <v>106.9989258599918</v>
      </c>
      <c r="I47" s="223"/>
      <c r="J47" s="173"/>
      <c r="K47" s="222"/>
      <c r="L47" s="173"/>
      <c r="M47" s="173"/>
    </row>
    <row r="48" spans="1:14">
      <c r="A48" s="125" t="str">
        <f>HLOOKUP(INDICE!$F$2,Nombres!$C$3:$E$853,116)</f>
        <v>Economic capital allocated</v>
      </c>
      <c r="B48" s="82">
        <v>-26250.561484000005</v>
      </c>
      <c r="C48" s="82">
        <v>-25739.492409999999</v>
      </c>
      <c r="D48" s="82">
        <v>-25178.984247189997</v>
      </c>
      <c r="E48" s="82">
        <v>-24940.932909409996</v>
      </c>
      <c r="F48" s="82">
        <v>-24593.052275760008</v>
      </c>
      <c r="G48" s="82">
        <v>-23358.417609999997</v>
      </c>
      <c r="H48" s="82">
        <v>-22363.140518299999</v>
      </c>
      <c r="I48" s="173"/>
      <c r="J48" s="173"/>
      <c r="K48" s="222"/>
      <c r="L48" s="173"/>
      <c r="M48" s="173"/>
    </row>
    <row r="49" spans="1:11">
      <c r="A49" s="125" t="str">
        <f>HLOOKUP(INDICE!$F$2,Nombres!$C$3:$E$853,135)</f>
        <v>Shareholders' funds</v>
      </c>
      <c r="B49" s="82">
        <v>52887.573994479993</v>
      </c>
      <c r="C49" s="212">
        <v>52764.136011850002</v>
      </c>
      <c r="D49" s="212">
        <v>52754.860009000004</v>
      </c>
      <c r="E49" s="82">
        <v>52605.923834790003</v>
      </c>
      <c r="F49" s="82">
        <v>53301.475522760004</v>
      </c>
      <c r="G49" s="212">
        <v>53093.177995879989</v>
      </c>
      <c r="H49" s="212">
        <v>53036.634994899992</v>
      </c>
      <c r="I49" s="222"/>
      <c r="J49" s="222"/>
      <c r="K49" s="222"/>
    </row>
    <row r="50" spans="1:11">
      <c r="A50" s="224"/>
      <c r="B50" s="224"/>
      <c r="C50" s="224"/>
      <c r="D50" s="224"/>
      <c r="E50" s="224"/>
      <c r="F50" s="224"/>
      <c r="G50" s="224"/>
      <c r="H50" s="224"/>
      <c r="I50" s="222"/>
      <c r="J50" s="222"/>
      <c r="K50" s="222"/>
    </row>
    <row r="51" spans="1:11">
      <c r="A51" s="224"/>
      <c r="B51" s="224"/>
      <c r="C51" s="224"/>
      <c r="D51" s="224"/>
      <c r="E51" s="224"/>
      <c r="F51" s="224"/>
      <c r="G51" s="224"/>
      <c r="H51" s="224"/>
      <c r="I51" s="222"/>
      <c r="J51" s="222"/>
      <c r="K51" s="222"/>
    </row>
    <row r="52" spans="1:11">
      <c r="A52" s="224"/>
      <c r="B52" s="224"/>
      <c r="C52" s="224"/>
      <c r="D52" s="224"/>
      <c r="E52" s="224"/>
      <c r="F52" s="224"/>
      <c r="G52" s="224"/>
      <c r="H52" s="224"/>
      <c r="I52" s="222"/>
      <c r="J52" s="222"/>
      <c r="K52" s="222"/>
    </row>
    <row r="53" spans="1:11" ht="6" customHeight="1">
      <c r="A53" s="224"/>
      <c r="B53" s="224"/>
      <c r="C53" s="224"/>
      <c r="D53" s="224"/>
      <c r="E53" s="224"/>
      <c r="F53" s="224"/>
      <c r="G53" s="224"/>
      <c r="H53" s="224"/>
      <c r="I53" s="222"/>
      <c r="J53" s="222"/>
      <c r="K53" s="222"/>
    </row>
    <row r="54" spans="1:11">
      <c r="A54" s="224"/>
      <c r="B54" s="224"/>
      <c r="C54" s="224"/>
      <c r="D54" s="224"/>
      <c r="E54" s="224"/>
      <c r="F54" s="224"/>
      <c r="G54" s="224"/>
      <c r="H54" s="224"/>
      <c r="I54" s="222"/>
      <c r="J54" s="222"/>
      <c r="K54" s="222"/>
    </row>
    <row r="55" spans="1:11">
      <c r="A55" s="222"/>
      <c r="B55" s="222"/>
      <c r="C55" s="222"/>
      <c r="D55" s="222"/>
      <c r="E55" s="222"/>
      <c r="F55" s="222"/>
      <c r="G55" s="222"/>
      <c r="H55" s="222"/>
      <c r="I55" s="222"/>
      <c r="J55" s="222"/>
      <c r="K55" s="222"/>
    </row>
    <row r="56" spans="1:11">
      <c r="A56" s="222"/>
      <c r="B56" s="222"/>
      <c r="C56" s="222"/>
      <c r="D56" s="222"/>
      <c r="E56" s="222"/>
      <c r="F56" s="222"/>
      <c r="G56" s="222"/>
      <c r="H56" s="222"/>
      <c r="I56" s="222"/>
      <c r="J56" s="222"/>
      <c r="K56" s="222"/>
    </row>
    <row r="57" spans="1:11">
      <c r="A57" s="222"/>
      <c r="B57" s="222"/>
      <c r="C57" s="222"/>
      <c r="D57" s="222"/>
      <c r="E57" s="222"/>
      <c r="F57" s="222"/>
      <c r="G57" s="222"/>
      <c r="H57" s="222"/>
      <c r="I57" s="222"/>
      <c r="J57" s="222"/>
      <c r="K57" s="222"/>
    </row>
    <row r="58" spans="1:11">
      <c r="A58" s="222"/>
      <c r="B58" s="222"/>
      <c r="C58" s="222"/>
      <c r="D58" s="222"/>
      <c r="E58" s="222"/>
      <c r="F58" s="222"/>
      <c r="G58" s="222"/>
      <c r="H58" s="222"/>
      <c r="I58" s="222"/>
      <c r="J58" s="222"/>
      <c r="K58" s="222"/>
    </row>
    <row r="59" spans="1:11">
      <c r="A59" s="222"/>
      <c r="B59" s="222"/>
      <c r="C59" s="222"/>
      <c r="D59" s="222"/>
      <c r="E59" s="222"/>
      <c r="F59" s="222"/>
      <c r="G59" s="222"/>
      <c r="H59" s="222"/>
      <c r="I59" s="222"/>
      <c r="J59" s="222"/>
      <c r="K59" s="222"/>
    </row>
    <row r="60" spans="1:11" ht="6" customHeight="1">
      <c r="A60" s="222"/>
      <c r="B60" s="222"/>
      <c r="C60" s="222"/>
      <c r="D60" s="222"/>
      <c r="E60" s="222"/>
      <c r="F60" s="222"/>
      <c r="G60" s="222"/>
      <c r="H60" s="222"/>
      <c r="I60" s="222"/>
      <c r="J60" s="222"/>
      <c r="K60" s="222"/>
    </row>
    <row r="61" spans="1:11">
      <c r="A61" s="222"/>
      <c r="B61" s="222"/>
      <c r="C61" s="222"/>
      <c r="D61" s="222"/>
      <c r="E61" s="222"/>
      <c r="F61" s="222"/>
      <c r="G61" s="222"/>
      <c r="H61" s="222"/>
      <c r="I61" s="222"/>
      <c r="J61" s="222"/>
      <c r="K61" s="222"/>
    </row>
    <row r="62" spans="1:11">
      <c r="A62" s="222"/>
      <c r="B62" s="222"/>
      <c r="C62" s="222"/>
      <c r="D62" s="222"/>
      <c r="E62" s="222"/>
      <c r="F62" s="222"/>
      <c r="G62" s="222"/>
      <c r="H62" s="222"/>
      <c r="I62" s="222"/>
      <c r="J62" s="222"/>
      <c r="K62" s="222"/>
    </row>
    <row r="63" spans="1:11" ht="6" customHeight="1">
      <c r="A63" s="222"/>
      <c r="B63" s="222"/>
      <c r="C63" s="222"/>
      <c r="D63" s="222"/>
      <c r="E63" s="222"/>
      <c r="F63" s="222"/>
      <c r="G63" s="222"/>
      <c r="H63" s="222"/>
      <c r="I63" s="222"/>
      <c r="J63" s="222"/>
      <c r="K63" s="222"/>
    </row>
    <row r="64" spans="1:11">
      <c r="A64" s="222"/>
      <c r="B64" s="222"/>
      <c r="C64" s="222"/>
      <c r="D64" s="222"/>
      <c r="E64" s="222"/>
      <c r="F64" s="222"/>
      <c r="G64" s="222"/>
      <c r="H64" s="222"/>
      <c r="I64" s="222"/>
      <c r="J64" s="222"/>
      <c r="K64" s="222"/>
    </row>
    <row r="65" spans="1:11">
      <c r="A65" s="222"/>
      <c r="B65" s="222"/>
      <c r="C65" s="222"/>
      <c r="D65" s="222"/>
      <c r="E65" s="222"/>
      <c r="F65" s="222"/>
      <c r="G65" s="222"/>
      <c r="H65" s="222"/>
      <c r="I65" s="222"/>
      <c r="J65" s="222"/>
      <c r="K65" s="222"/>
    </row>
    <row r="66" spans="1:11">
      <c r="A66" s="222"/>
      <c r="B66" s="222"/>
      <c r="C66" s="222"/>
      <c r="D66" s="222"/>
      <c r="E66" s="222"/>
      <c r="F66" s="222"/>
      <c r="G66" s="222"/>
      <c r="H66" s="222"/>
      <c r="I66" s="222"/>
      <c r="J66" s="222"/>
      <c r="K66" s="222"/>
    </row>
    <row r="67" spans="1:11">
      <c r="A67" s="222"/>
      <c r="B67" s="222"/>
      <c r="C67" s="222"/>
      <c r="D67" s="222"/>
      <c r="E67" s="222"/>
      <c r="F67" s="222"/>
      <c r="G67" s="222"/>
      <c r="H67" s="222"/>
      <c r="I67" s="222"/>
      <c r="J67" s="222"/>
      <c r="K67" s="222"/>
    </row>
    <row r="68" spans="1:11">
      <c r="A68" s="222"/>
      <c r="B68" s="222"/>
      <c r="C68" s="222"/>
      <c r="D68" s="222"/>
      <c r="E68" s="222"/>
      <c r="F68" s="222"/>
      <c r="G68" s="222"/>
      <c r="H68" s="222"/>
      <c r="I68" s="222"/>
      <c r="J68" s="222"/>
      <c r="K68" s="222"/>
    </row>
    <row r="69" spans="1:11">
      <c r="A69" s="222"/>
      <c r="B69" s="222"/>
      <c r="C69" s="222"/>
      <c r="D69" s="222"/>
      <c r="E69" s="222"/>
      <c r="F69" s="222"/>
      <c r="G69" s="222"/>
      <c r="H69" s="222"/>
      <c r="I69" s="222"/>
      <c r="J69" s="222"/>
      <c r="K69" s="222"/>
    </row>
    <row r="70" spans="1:11">
      <c r="A70" s="222"/>
      <c r="B70" s="222"/>
      <c r="C70" s="222"/>
      <c r="D70" s="222"/>
      <c r="E70" s="222"/>
      <c r="F70" s="222"/>
      <c r="G70" s="222"/>
      <c r="H70" s="222"/>
      <c r="I70" s="222"/>
      <c r="J70" s="222"/>
      <c r="K70" s="222"/>
    </row>
    <row r="71" spans="1:11">
      <c r="A71" s="225"/>
      <c r="H71" s="129"/>
      <c r="I71" s="129"/>
    </row>
    <row r="72" spans="1:11">
      <c r="A72" s="226"/>
      <c r="B72" s="129"/>
      <c r="C72" s="129"/>
      <c r="D72" s="129"/>
      <c r="E72" s="129"/>
      <c r="F72" s="129"/>
      <c r="G72" s="129"/>
      <c r="H72" s="129"/>
      <c r="I72" s="129"/>
    </row>
    <row r="73" spans="1:11">
      <c r="A73" s="226"/>
      <c r="B73" s="129"/>
      <c r="C73" s="129"/>
      <c r="D73" s="129"/>
      <c r="E73" s="129"/>
      <c r="F73" s="129"/>
      <c r="G73" s="129"/>
      <c r="H73" s="129"/>
      <c r="I73" s="129"/>
    </row>
    <row r="74" spans="1:11">
      <c r="B74" s="129"/>
      <c r="C74" s="129"/>
      <c r="D74" s="129"/>
      <c r="E74" s="129"/>
      <c r="F74" s="129"/>
      <c r="G74" s="129"/>
      <c r="H74" s="129"/>
      <c r="I74" s="129"/>
    </row>
    <row r="75" spans="1:11">
      <c r="B75" s="129"/>
      <c r="C75" s="129"/>
      <c r="D75" s="129"/>
      <c r="E75" s="129"/>
      <c r="F75" s="129"/>
      <c r="G75" s="129"/>
      <c r="H75" s="129"/>
      <c r="I75" s="129"/>
    </row>
    <row r="76" spans="1:11">
      <c r="B76" s="129"/>
      <c r="C76" s="129"/>
      <c r="D76" s="129"/>
      <c r="E76" s="129"/>
      <c r="F76" s="129"/>
      <c r="G76" s="129"/>
      <c r="H76" s="129"/>
      <c r="I76" s="129"/>
    </row>
    <row r="77" spans="1:11">
      <c r="B77" s="129"/>
      <c r="C77" s="129"/>
      <c r="D77" s="129"/>
      <c r="E77" s="129"/>
      <c r="F77" s="129"/>
      <c r="G77" s="129"/>
      <c r="H77" s="129"/>
      <c r="I77" s="129"/>
    </row>
    <row r="78" spans="1:11">
      <c r="B78" s="129"/>
      <c r="C78" s="129"/>
      <c r="D78" s="129"/>
      <c r="E78" s="129"/>
      <c r="F78" s="129"/>
      <c r="G78" s="129"/>
    </row>
    <row r="79" spans="1:11">
      <c r="B79" s="129"/>
      <c r="C79" s="129"/>
      <c r="D79" s="129"/>
      <c r="E79" s="129"/>
      <c r="F79" s="129"/>
      <c r="G79" s="129"/>
    </row>
    <row r="80" spans="1:11">
      <c r="B80" s="129"/>
      <c r="C80" s="129"/>
      <c r="D80" s="129"/>
      <c r="E80" s="129"/>
      <c r="F80" s="129"/>
      <c r="G80" s="129"/>
    </row>
    <row r="81" spans="2:7">
      <c r="B81" s="129"/>
      <c r="C81" s="129"/>
      <c r="D81" s="129"/>
      <c r="E81" s="129"/>
      <c r="F81" s="129"/>
      <c r="G81" s="129"/>
    </row>
    <row r="82" spans="2:7">
      <c r="B82" s="129"/>
      <c r="C82" s="129"/>
      <c r="D82" s="129"/>
      <c r="E82" s="129"/>
      <c r="F82" s="129"/>
      <c r="G82" s="129"/>
    </row>
    <row r="83" spans="2:7">
      <c r="B83" s="129"/>
      <c r="C83" s="129"/>
      <c r="D83" s="129"/>
      <c r="E83" s="129"/>
      <c r="F83" s="129"/>
      <c r="G83" s="129"/>
    </row>
    <row r="84" spans="2:7">
      <c r="B84" s="129"/>
      <c r="C84" s="129"/>
      <c r="D84" s="129"/>
      <c r="E84" s="129"/>
      <c r="F84" s="129"/>
      <c r="G84" s="129"/>
    </row>
    <row r="85" spans="2:7">
      <c r="B85" s="129"/>
      <c r="C85" s="129"/>
      <c r="D85" s="129"/>
      <c r="E85" s="129"/>
      <c r="F85" s="129"/>
      <c r="G85" s="129"/>
    </row>
    <row r="86" spans="2:7">
      <c r="B86" s="129"/>
      <c r="C86" s="129"/>
      <c r="D86" s="129"/>
      <c r="E86" s="129"/>
      <c r="F86" s="129"/>
      <c r="G86" s="129"/>
    </row>
    <row r="87" spans="2:7">
      <c r="B87" s="129"/>
      <c r="C87" s="129"/>
      <c r="D87" s="129"/>
      <c r="E87" s="129"/>
      <c r="F87" s="129"/>
      <c r="G87" s="129"/>
    </row>
    <row r="88" spans="2:7">
      <c r="B88" s="129"/>
      <c r="C88" s="129"/>
      <c r="D88" s="129"/>
      <c r="E88" s="129"/>
      <c r="F88" s="129"/>
      <c r="G88" s="129"/>
    </row>
    <row r="89" spans="2:7">
      <c r="B89" s="129"/>
      <c r="C89" s="129"/>
      <c r="D89" s="129"/>
      <c r="E89" s="129"/>
      <c r="F89" s="129"/>
      <c r="G89" s="129"/>
    </row>
    <row r="90" spans="2:7">
      <c r="B90" s="129"/>
    </row>
    <row r="91" spans="2:7">
      <c r="B91" s="129"/>
    </row>
    <row r="92" spans="2:7">
      <c r="B92" s="129"/>
    </row>
    <row r="93" spans="2:7">
      <c r="B93" s="129"/>
    </row>
    <row r="94" spans="2:7">
      <c r="B94" s="129"/>
    </row>
    <row r="95" spans="2:7">
      <c r="B95" s="129"/>
    </row>
    <row r="96" spans="2:7">
      <c r="B96" s="129"/>
    </row>
    <row r="97" spans="2:2">
      <c r="B97" s="129"/>
    </row>
    <row r="98" spans="2:2">
      <c r="B98" s="129"/>
    </row>
  </sheetData>
  <mergeCells count="3">
    <mergeCell ref="B6:E6"/>
    <mergeCell ref="F6:H6"/>
    <mergeCell ref="A29:H29"/>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zoomScale="85" zoomScaleNormal="85" workbookViewId="0"/>
  </sheetViews>
  <sheetFormatPr baseColWidth="10" defaultRowHeight="15"/>
  <cols>
    <col min="1" max="1" width="62.85546875" style="217" customWidth="1"/>
    <col min="2" max="2" width="10.7109375" customWidth="1"/>
    <col min="3" max="5" width="10.7109375" style="218" customWidth="1"/>
    <col min="6" max="8" width="10.7109375" customWidth="1"/>
    <col min="9" max="9" width="11.42578125" style="86"/>
    <col min="256" max="256" width="62.85546875" customWidth="1"/>
    <col min="257" max="264" width="10.7109375" customWidth="1"/>
    <col min="512" max="512" width="62.85546875" customWidth="1"/>
    <col min="513" max="520" width="10.7109375" customWidth="1"/>
    <col min="768" max="768" width="62.85546875" customWidth="1"/>
    <col min="769" max="776" width="10.7109375" customWidth="1"/>
    <col min="1024" max="1024" width="62.85546875" customWidth="1"/>
    <col min="1025" max="1032" width="10.7109375" customWidth="1"/>
    <col min="1280" max="1280" width="62.85546875" customWidth="1"/>
    <col min="1281" max="1288" width="10.7109375" customWidth="1"/>
    <col min="1536" max="1536" width="62.85546875" customWidth="1"/>
    <col min="1537" max="1544" width="10.7109375" customWidth="1"/>
    <col min="1792" max="1792" width="62.85546875" customWidth="1"/>
    <col min="1793" max="1800" width="10.7109375" customWidth="1"/>
    <col min="2048" max="2048" width="62.85546875" customWidth="1"/>
    <col min="2049" max="2056" width="10.7109375" customWidth="1"/>
    <col min="2304" max="2304" width="62.85546875" customWidth="1"/>
    <col min="2305" max="2312" width="10.7109375" customWidth="1"/>
    <col min="2560" max="2560" width="62.85546875" customWidth="1"/>
    <col min="2561" max="2568" width="10.7109375" customWidth="1"/>
    <col min="2816" max="2816" width="62.85546875" customWidth="1"/>
    <col min="2817" max="2824" width="10.7109375" customWidth="1"/>
    <col min="3072" max="3072" width="62.85546875" customWidth="1"/>
    <col min="3073" max="3080" width="10.7109375" customWidth="1"/>
    <col min="3328" max="3328" width="62.85546875" customWidth="1"/>
    <col min="3329" max="3336" width="10.7109375" customWidth="1"/>
    <col min="3584" max="3584" width="62.85546875" customWidth="1"/>
    <col min="3585" max="3592" width="10.7109375" customWidth="1"/>
    <col min="3840" max="3840" width="62.85546875" customWidth="1"/>
    <col min="3841" max="3848" width="10.7109375" customWidth="1"/>
    <col min="4096" max="4096" width="62.85546875" customWidth="1"/>
    <col min="4097" max="4104" width="10.7109375" customWidth="1"/>
    <col min="4352" max="4352" width="62.85546875" customWidth="1"/>
    <col min="4353" max="4360" width="10.7109375" customWidth="1"/>
    <col min="4608" max="4608" width="62.85546875" customWidth="1"/>
    <col min="4609" max="4616" width="10.7109375" customWidth="1"/>
    <col min="4864" max="4864" width="62.85546875" customWidth="1"/>
    <col min="4865" max="4872" width="10.7109375" customWidth="1"/>
    <col min="5120" max="5120" width="62.85546875" customWidth="1"/>
    <col min="5121" max="5128" width="10.7109375" customWidth="1"/>
    <col min="5376" max="5376" width="62.85546875" customWidth="1"/>
    <col min="5377" max="5384" width="10.7109375" customWidth="1"/>
    <col min="5632" max="5632" width="62.85546875" customWidth="1"/>
    <col min="5633" max="5640" width="10.7109375" customWidth="1"/>
    <col min="5888" max="5888" width="62.85546875" customWidth="1"/>
    <col min="5889" max="5896" width="10.7109375" customWidth="1"/>
    <col min="6144" max="6144" width="62.85546875" customWidth="1"/>
    <col min="6145" max="6152" width="10.7109375" customWidth="1"/>
    <col min="6400" max="6400" width="62.85546875" customWidth="1"/>
    <col min="6401" max="6408" width="10.7109375" customWidth="1"/>
    <col min="6656" max="6656" width="62.85546875" customWidth="1"/>
    <col min="6657" max="6664" width="10.7109375" customWidth="1"/>
    <col min="6912" max="6912" width="62.85546875" customWidth="1"/>
    <col min="6913" max="6920" width="10.7109375" customWidth="1"/>
    <col min="7168" max="7168" width="62.85546875" customWidth="1"/>
    <col min="7169" max="7176" width="10.7109375" customWidth="1"/>
    <col min="7424" max="7424" width="62.85546875" customWidth="1"/>
    <col min="7425" max="7432" width="10.7109375" customWidth="1"/>
    <col min="7680" max="7680" width="62.85546875" customWidth="1"/>
    <col min="7681" max="7688" width="10.7109375" customWidth="1"/>
    <col min="7936" max="7936" width="62.85546875" customWidth="1"/>
    <col min="7937" max="7944" width="10.7109375" customWidth="1"/>
    <col min="8192" max="8192" width="62.85546875" customWidth="1"/>
    <col min="8193" max="8200" width="10.7109375" customWidth="1"/>
    <col min="8448" max="8448" width="62.85546875" customWidth="1"/>
    <col min="8449" max="8456" width="10.7109375" customWidth="1"/>
    <col min="8704" max="8704" width="62.85546875" customWidth="1"/>
    <col min="8705" max="8712" width="10.7109375" customWidth="1"/>
    <col min="8960" max="8960" width="62.85546875" customWidth="1"/>
    <col min="8961" max="8968" width="10.7109375" customWidth="1"/>
    <col min="9216" max="9216" width="62.85546875" customWidth="1"/>
    <col min="9217" max="9224" width="10.7109375" customWidth="1"/>
    <col min="9472" max="9472" width="62.85546875" customWidth="1"/>
    <col min="9473" max="9480" width="10.7109375" customWidth="1"/>
    <col min="9728" max="9728" width="62.85546875" customWidth="1"/>
    <col min="9729" max="9736" width="10.7109375" customWidth="1"/>
    <col min="9984" max="9984" width="62.85546875" customWidth="1"/>
    <col min="9985" max="9992" width="10.7109375" customWidth="1"/>
    <col min="10240" max="10240" width="62.85546875" customWidth="1"/>
    <col min="10241" max="10248" width="10.7109375" customWidth="1"/>
    <col min="10496" max="10496" width="62.85546875" customWidth="1"/>
    <col min="10497" max="10504" width="10.7109375" customWidth="1"/>
    <col min="10752" max="10752" width="62.85546875" customWidth="1"/>
    <col min="10753" max="10760" width="10.7109375" customWidth="1"/>
    <col min="11008" max="11008" width="62.85546875" customWidth="1"/>
    <col min="11009" max="11016" width="10.7109375" customWidth="1"/>
    <col min="11264" max="11264" width="62.85546875" customWidth="1"/>
    <col min="11265" max="11272" width="10.7109375" customWidth="1"/>
    <col min="11520" max="11520" width="62.85546875" customWidth="1"/>
    <col min="11521" max="11528" width="10.7109375" customWidth="1"/>
    <col min="11776" max="11776" width="62.85546875" customWidth="1"/>
    <col min="11777" max="11784" width="10.7109375" customWidth="1"/>
    <col min="12032" max="12032" width="62.85546875" customWidth="1"/>
    <col min="12033" max="12040" width="10.7109375" customWidth="1"/>
    <col min="12288" max="12288" width="62.85546875" customWidth="1"/>
    <col min="12289" max="12296" width="10.7109375" customWidth="1"/>
    <col min="12544" max="12544" width="62.85546875" customWidth="1"/>
    <col min="12545" max="12552" width="10.7109375" customWidth="1"/>
    <col min="12800" max="12800" width="62.85546875" customWidth="1"/>
    <col min="12801" max="12808" width="10.7109375" customWidth="1"/>
    <col min="13056" max="13056" width="62.85546875" customWidth="1"/>
    <col min="13057" max="13064" width="10.7109375" customWidth="1"/>
    <col min="13312" max="13312" width="62.85546875" customWidth="1"/>
    <col min="13313" max="13320" width="10.7109375" customWidth="1"/>
    <col min="13568" max="13568" width="62.85546875" customWidth="1"/>
    <col min="13569" max="13576" width="10.7109375" customWidth="1"/>
    <col min="13824" max="13824" width="62.85546875" customWidth="1"/>
    <col min="13825" max="13832" width="10.7109375" customWidth="1"/>
    <col min="14080" max="14080" width="62.85546875" customWidth="1"/>
    <col min="14081" max="14088" width="10.7109375" customWidth="1"/>
    <col min="14336" max="14336" width="62.85546875" customWidth="1"/>
    <col min="14337" max="14344" width="10.7109375" customWidth="1"/>
    <col min="14592" max="14592" width="62.85546875" customWidth="1"/>
    <col min="14593" max="14600" width="10.7109375" customWidth="1"/>
    <col min="14848" max="14848" width="62.85546875" customWidth="1"/>
    <col min="14849" max="14856" width="10.7109375" customWidth="1"/>
    <col min="15104" max="15104" width="62.85546875" customWidth="1"/>
    <col min="15105" max="15112" width="10.7109375" customWidth="1"/>
    <col min="15360" max="15360" width="62.85546875" customWidth="1"/>
    <col min="15361" max="15368" width="10.7109375" customWidth="1"/>
    <col min="15616" max="15616" width="62.85546875" customWidth="1"/>
    <col min="15617" max="15624" width="10.7109375" customWidth="1"/>
    <col min="15872" max="15872" width="62.85546875" customWidth="1"/>
    <col min="15873" max="15880" width="10.7109375" customWidth="1"/>
    <col min="16128" max="16128" width="62.85546875" customWidth="1"/>
    <col min="16129" max="16136" width="10.7109375" customWidth="1"/>
  </cols>
  <sheetData>
    <row r="1" spans="1:8" ht="18" customHeight="1">
      <c r="A1" s="197" t="str">
        <f>HLOOKUP(INDICE!$F$2,Nombres!$C$3:$E$853,186)</f>
        <v>Corporate &amp; Investment Banking</v>
      </c>
      <c r="B1" s="72"/>
      <c r="C1" s="72"/>
      <c r="D1" s="72"/>
      <c r="E1" s="72"/>
      <c r="F1" s="72"/>
      <c r="G1" s="72"/>
      <c r="H1" s="72"/>
    </row>
    <row r="2" spans="1:8" ht="18" customHeight="1">
      <c r="A2" s="198"/>
      <c r="B2" s="72"/>
      <c r="C2" s="72"/>
      <c r="D2" s="72"/>
      <c r="E2" s="72"/>
      <c r="F2" s="72"/>
      <c r="G2" s="72"/>
      <c r="H2" s="72"/>
    </row>
    <row r="3" spans="1:8" ht="18">
      <c r="A3" s="65" t="str">
        <f>HLOOKUP(INDICE!$F$2,Nombres!$C$3:$E$853,93)</f>
        <v xml:space="preserve">Income statement  </v>
      </c>
      <c r="B3" s="67"/>
      <c r="C3" s="199"/>
      <c r="D3" s="199"/>
      <c r="E3" s="199"/>
      <c r="F3" s="67"/>
      <c r="G3" s="67"/>
      <c r="H3" s="67"/>
    </row>
    <row r="4" spans="1:8">
      <c r="A4" s="68" t="str">
        <f>HLOOKUP(INDICE!$F$2,Nombres!$C$3:$E$853,30)</f>
        <v>(Million euros)</v>
      </c>
      <c r="B4" s="72"/>
      <c r="C4" s="72"/>
      <c r="D4" s="200"/>
      <c r="E4" s="200"/>
      <c r="F4" s="72"/>
      <c r="G4" s="72"/>
      <c r="H4" s="72"/>
    </row>
    <row r="5" spans="1:8">
      <c r="A5" s="201"/>
      <c r="B5" s="72"/>
      <c r="C5" s="72"/>
      <c r="D5" s="200"/>
      <c r="E5" s="200"/>
      <c r="F5" s="72"/>
      <c r="G5" s="72"/>
      <c r="H5" s="72"/>
    </row>
    <row r="6" spans="1:8" ht="15.75">
      <c r="A6" s="73"/>
      <c r="B6" s="315">
        <v>2017</v>
      </c>
      <c r="C6" s="316"/>
      <c r="D6" s="316"/>
      <c r="E6" s="316"/>
      <c r="F6" s="315">
        <v>2018</v>
      </c>
      <c r="G6" s="316"/>
      <c r="H6" s="316"/>
    </row>
    <row r="7" spans="1:8" ht="15.75">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row>
    <row r="8" spans="1:8">
      <c r="A8" s="139" t="str">
        <f>HLOOKUP(INDICE!$F$2,Nombres!$C$3:$E$853,38)</f>
        <v>Net interest income</v>
      </c>
      <c r="B8" s="202">
        <v>347.60200699000012</v>
      </c>
      <c r="C8" s="77">
        <v>330.33654139999987</v>
      </c>
      <c r="D8" s="77">
        <v>350.66315651000014</v>
      </c>
      <c r="E8" s="203">
        <v>343.32092191999982</v>
      </c>
      <c r="F8" s="77">
        <v>330.51246772000002</v>
      </c>
      <c r="G8" s="77">
        <v>332.3388496899999</v>
      </c>
      <c r="H8" s="77">
        <v>364.12508867999992</v>
      </c>
    </row>
    <row r="9" spans="1:8">
      <c r="A9" s="125" t="str">
        <f>HLOOKUP(INDICE!$F$2,Nombres!$C$3:$E$853,39)</f>
        <v>Net fees and commissions</v>
      </c>
      <c r="B9" s="204">
        <v>213.79100696353819</v>
      </c>
      <c r="C9" s="82">
        <v>197.18285415492528</v>
      </c>
      <c r="D9" s="82">
        <v>190.22842196237951</v>
      </c>
      <c r="E9" s="205">
        <v>172.3507179895538</v>
      </c>
      <c r="F9" s="82">
        <v>180.26096815</v>
      </c>
      <c r="G9" s="82">
        <v>195.90673895999998</v>
      </c>
      <c r="H9" s="82">
        <v>158.74051024000002</v>
      </c>
    </row>
    <row r="10" spans="1:8">
      <c r="A10" s="125" t="str">
        <f>HLOOKUP(INDICE!$F$2,Nombres!$C$3:$E$853,40)</f>
        <v>Net trading income</v>
      </c>
      <c r="B10" s="204">
        <v>308.45028272999997</v>
      </c>
      <c r="C10" s="82">
        <v>195.70680428</v>
      </c>
      <c r="D10" s="82">
        <v>177.67072243999996</v>
      </c>
      <c r="E10" s="205">
        <v>188.69894074000004</v>
      </c>
      <c r="F10" s="82">
        <v>270.33236749000002</v>
      </c>
      <c r="G10" s="82">
        <v>224.01167001999994</v>
      </c>
      <c r="H10" s="82">
        <v>176.22575588000001</v>
      </c>
    </row>
    <row r="11" spans="1:8">
      <c r="A11" s="125" t="str">
        <f>HLOOKUP(INDICE!$F$2,Nombres!$C$3:$E$853,95)</f>
        <v>Other operating income and expenses</v>
      </c>
      <c r="B11" s="204">
        <v>18.36843588</v>
      </c>
      <c r="C11" s="82">
        <v>75.287061460000004</v>
      </c>
      <c r="D11" s="82">
        <v>9.71848958</v>
      </c>
      <c r="E11" s="205">
        <v>9.1138453099999825</v>
      </c>
      <c r="F11" s="82">
        <v>-7.7709241099999984</v>
      </c>
      <c r="G11" s="82">
        <v>-5.5476976600000025</v>
      </c>
      <c r="H11" s="82">
        <v>-16.315764390000002</v>
      </c>
    </row>
    <row r="12" spans="1:8">
      <c r="A12" s="139" t="str">
        <f>HLOOKUP(INDICE!$F$2,Nombres!$C$3:$E$853,44)</f>
        <v>Gross income</v>
      </c>
      <c r="B12" s="202">
        <v>888.21173256353836</v>
      </c>
      <c r="C12" s="77">
        <v>798.51326129492531</v>
      </c>
      <c r="D12" s="77">
        <v>728.28079049237954</v>
      </c>
      <c r="E12" s="203">
        <v>713.48442595955362</v>
      </c>
      <c r="F12" s="77">
        <v>773.33487925000009</v>
      </c>
      <c r="G12" s="77">
        <v>746.7095610099999</v>
      </c>
      <c r="H12" s="77">
        <v>682.77559040999995</v>
      </c>
    </row>
    <row r="13" spans="1:8">
      <c r="A13" s="125" t="str">
        <f>HLOOKUP(INDICE!$F$2,Nombres!$C$3:$E$853,45)</f>
        <v>Operating expenses</v>
      </c>
      <c r="B13" s="204">
        <v>-277.99727594789101</v>
      </c>
      <c r="C13" s="82">
        <v>-262.5149738412959</v>
      </c>
      <c r="D13" s="82">
        <v>-250.87296853135842</v>
      </c>
      <c r="E13" s="205">
        <v>-276.94092955657192</v>
      </c>
      <c r="F13" s="82">
        <v>-258.45971496000004</v>
      </c>
      <c r="G13" s="82">
        <v>-254.21976472999998</v>
      </c>
      <c r="H13" s="82">
        <v>-244.61493595000002</v>
      </c>
    </row>
    <row r="14" spans="1:8">
      <c r="A14" s="125" t="str">
        <f>HLOOKUP(INDICE!$F$2,Nombres!$C$3:$E$853,46)</f>
        <v xml:space="preserve">  Administration expenses</v>
      </c>
      <c r="B14" s="204">
        <v>-252.30515847124857</v>
      </c>
      <c r="C14" s="82">
        <v>-235.70691401983098</v>
      </c>
      <c r="D14" s="82">
        <v>-223.90492307321571</v>
      </c>
      <c r="E14" s="205">
        <v>-248.85227904725565</v>
      </c>
      <c r="F14" s="82">
        <v>-231.07679074999999</v>
      </c>
      <c r="G14" s="82">
        <v>-227.03070396999999</v>
      </c>
      <c r="H14" s="82">
        <v>-217.17510795000001</v>
      </c>
    </row>
    <row r="15" spans="1:8">
      <c r="A15" s="141" t="str">
        <f>HLOOKUP(INDICE!$F$2,Nombres!$C$3:$E$853,47)</f>
        <v xml:space="preserve">  Personnel expenses</v>
      </c>
      <c r="B15" s="204">
        <v>-134.54955036444355</v>
      </c>
      <c r="C15" s="82">
        <v>-121.51522398558188</v>
      </c>
      <c r="D15" s="82">
        <v>-115.34404151557571</v>
      </c>
      <c r="E15" s="205">
        <v>-136.17848126698874</v>
      </c>
      <c r="F15" s="82">
        <v>-121.39817777999998</v>
      </c>
      <c r="G15" s="82">
        <v>-106.55177205999999</v>
      </c>
      <c r="H15" s="82">
        <v>-111.61404934000001</v>
      </c>
    </row>
    <row r="16" spans="1:8">
      <c r="A16" s="141" t="str">
        <f>HLOOKUP(INDICE!$F$2,Nombres!$C$3:$E$853,48)</f>
        <v xml:space="preserve">  General and administrative expenses</v>
      </c>
      <c r="B16" s="204">
        <v>-117.75560810680503</v>
      </c>
      <c r="C16" s="82">
        <v>-114.19169003424911</v>
      </c>
      <c r="D16" s="82">
        <v>-108.56088155764003</v>
      </c>
      <c r="E16" s="205">
        <v>-112.67379778026691</v>
      </c>
      <c r="F16" s="82">
        <v>-109.67861297000002</v>
      </c>
      <c r="G16" s="82">
        <v>-120.47893191</v>
      </c>
      <c r="H16" s="82">
        <v>-105.56105861</v>
      </c>
    </row>
    <row r="17" spans="1:8" ht="13.5" customHeight="1">
      <c r="A17" s="125" t="str">
        <f>HLOOKUP(INDICE!$F$2,Nombres!$C$3:$E$853,49)</f>
        <v xml:space="preserve">  Depreciation</v>
      </c>
      <c r="B17" s="204">
        <v>-25.692117476642476</v>
      </c>
      <c r="C17" s="82">
        <v>-26.808059821464909</v>
      </c>
      <c r="D17" s="82">
        <v>-26.968045458142708</v>
      </c>
      <c r="E17" s="205">
        <v>-28.088650509316295</v>
      </c>
      <c r="F17" s="82">
        <v>-27.382924210000006</v>
      </c>
      <c r="G17" s="82">
        <v>-27.189060760000004</v>
      </c>
      <c r="H17" s="82">
        <v>-27.439827999999999</v>
      </c>
    </row>
    <row r="18" spans="1:8" ht="12.75" customHeight="1">
      <c r="A18" s="139" t="str">
        <f>HLOOKUP(INDICE!$F$2,Nombres!$C$3:$E$853,50)</f>
        <v>Operating income</v>
      </c>
      <c r="B18" s="202">
        <v>610.21445661564735</v>
      </c>
      <c r="C18" s="77">
        <v>535.99828745362936</v>
      </c>
      <c r="D18" s="77">
        <v>477.40782196102123</v>
      </c>
      <c r="E18" s="203">
        <v>436.5434964029817</v>
      </c>
      <c r="F18" s="77">
        <v>514.87516428999993</v>
      </c>
      <c r="G18" s="77">
        <v>492.48979627999989</v>
      </c>
      <c r="H18" s="77">
        <v>438.16065445999988</v>
      </c>
    </row>
    <row r="19" spans="1:8" ht="13.5" customHeight="1">
      <c r="A19" s="125" t="str">
        <f>HLOOKUP(INDICE!$F$2,Nombres!$C$3:$E$853,51)</f>
        <v>Impaiment on financial assets not measured at fair value through profit or loss</v>
      </c>
      <c r="B19" s="204">
        <v>-9.5359568199999991</v>
      </c>
      <c r="C19" s="82">
        <v>-10.018662770000009</v>
      </c>
      <c r="D19" s="82">
        <v>-14.228609269999998</v>
      </c>
      <c r="E19" s="205">
        <v>-113.12376372000001</v>
      </c>
      <c r="F19" s="82">
        <v>10.367869540000024</v>
      </c>
      <c r="G19" s="82">
        <v>-12.883696379999993</v>
      </c>
      <c r="H19" s="82">
        <v>-39.123284940000005</v>
      </c>
    </row>
    <row r="20" spans="1:8" ht="13.5" customHeight="1">
      <c r="A20" s="125" t="str">
        <f>HLOOKUP(INDICE!$F$2,Nombres!$C$3:$E$853,160)</f>
        <v>Provisions or reversal of provisions and other results</v>
      </c>
      <c r="B20" s="204">
        <v>-15.49011793</v>
      </c>
      <c r="C20" s="82">
        <v>-8.4416628800000026</v>
      </c>
      <c r="D20" s="82">
        <v>-6.1824002</v>
      </c>
      <c r="E20" s="205">
        <v>-12.135496280000003</v>
      </c>
      <c r="F20" s="82">
        <v>-25.729492579999999</v>
      </c>
      <c r="G20" s="82">
        <v>5.2729692400000001</v>
      </c>
      <c r="H20" s="82">
        <v>-6.675115879999999</v>
      </c>
    </row>
    <row r="21" spans="1:8" ht="12.75" customHeight="1">
      <c r="A21" s="139" t="str">
        <f>HLOOKUP(INDICE!$F$2,Nombres!$C$3:$E$853,54)</f>
        <v>Profit/(loss) before tax</v>
      </c>
      <c r="B21" s="202">
        <v>585.18838186564733</v>
      </c>
      <c r="C21" s="77">
        <v>517.53796180362929</v>
      </c>
      <c r="D21" s="77">
        <v>456.99681249102116</v>
      </c>
      <c r="E21" s="203">
        <v>311.28423640298172</v>
      </c>
      <c r="F21" s="77">
        <v>499.51354125000006</v>
      </c>
      <c r="G21" s="77">
        <v>484.87906913999996</v>
      </c>
      <c r="H21" s="77">
        <v>392.36225363999984</v>
      </c>
    </row>
    <row r="22" spans="1:8" ht="13.5" customHeight="1">
      <c r="A22" s="125" t="str">
        <f>HLOOKUP(INDICE!$F$2,Nombres!$C$3:$E$853,55)</f>
        <v>Income tax</v>
      </c>
      <c r="B22" s="204">
        <v>-155.39647689540001</v>
      </c>
      <c r="C22" s="82">
        <v>-138.09306872760001</v>
      </c>
      <c r="D22" s="82">
        <v>-124.27171065100001</v>
      </c>
      <c r="E22" s="205">
        <v>-70.838998762000017</v>
      </c>
      <c r="F22" s="82">
        <v>-133.47680251</v>
      </c>
      <c r="G22" s="82">
        <v>-129.72322204</v>
      </c>
      <c r="H22" s="82">
        <v>-60.948225170000001</v>
      </c>
    </row>
    <row r="23" spans="1:8" ht="13.5" customHeight="1">
      <c r="A23" s="139" t="str">
        <f>HLOOKUP(INDICE!$F$2,Nombres!$C$3:$E$853,56)</f>
        <v>Profit/(loss) for the year</v>
      </c>
      <c r="B23" s="202">
        <v>429.79190497024729</v>
      </c>
      <c r="C23" s="77">
        <v>379.4448930760293</v>
      </c>
      <c r="D23" s="77">
        <v>332.72510184002113</v>
      </c>
      <c r="E23" s="203">
        <v>240.4452376409817</v>
      </c>
      <c r="F23" s="77">
        <v>366.03673874000003</v>
      </c>
      <c r="G23" s="77">
        <v>355.1558470999999</v>
      </c>
      <c r="H23" s="77">
        <v>331.41402846999995</v>
      </c>
    </row>
    <row r="24" spans="1:8" ht="12" customHeight="1">
      <c r="A24" s="125" t="str">
        <f>HLOOKUP(INDICE!$F$2,Nombres!$C$3:$E$853,57)</f>
        <v>Non-controlling interests</v>
      </c>
      <c r="B24" s="204">
        <v>-74.725301273547615</v>
      </c>
      <c r="C24" s="82">
        <v>-72.626314740345606</v>
      </c>
      <c r="D24" s="82">
        <v>-72.343908152665989</v>
      </c>
      <c r="E24" s="205">
        <v>-35.711982776732</v>
      </c>
      <c r="F24" s="82">
        <v>-57.528133009999998</v>
      </c>
      <c r="G24" s="82">
        <v>-66.576327140000004</v>
      </c>
      <c r="H24" s="82">
        <v>-80.961877110000003</v>
      </c>
    </row>
    <row r="25" spans="1:8" ht="14.25" customHeight="1">
      <c r="A25" s="206" t="str">
        <f>HLOOKUP(INDICE!$F$2,Nombres!$C$3:$E$853,58)</f>
        <v>Net attributable profit</v>
      </c>
      <c r="B25" s="207">
        <v>355.0666036966997</v>
      </c>
      <c r="C25" s="208">
        <v>306.8185783356837</v>
      </c>
      <c r="D25" s="208">
        <v>260.38119368735522</v>
      </c>
      <c r="E25" s="209">
        <v>204.73325486424972</v>
      </c>
      <c r="F25" s="208">
        <v>308.50860573</v>
      </c>
      <c r="G25" s="208">
        <v>288.57951995999991</v>
      </c>
      <c r="H25" s="208">
        <v>250.45215135999993</v>
      </c>
    </row>
    <row r="26" spans="1:8" ht="14.25" customHeight="1">
      <c r="A26" s="72"/>
      <c r="B26" s="72"/>
      <c r="C26" s="72"/>
      <c r="D26" s="72"/>
      <c r="E26" s="72"/>
      <c r="F26" s="72"/>
      <c r="G26" s="72"/>
      <c r="H26" s="72"/>
    </row>
    <row r="27" spans="1:8" ht="18" customHeight="1">
      <c r="A27" s="65" t="str">
        <f>HLOOKUP(INDICE!$F$2,Nombres!$C$3:$E$853,94)</f>
        <v>Balance sheets</v>
      </c>
      <c r="B27" s="67"/>
      <c r="C27" s="67"/>
      <c r="D27" s="67"/>
      <c r="E27" s="67"/>
      <c r="F27" s="89"/>
      <c r="G27" s="210"/>
      <c r="H27" s="210"/>
    </row>
    <row r="28" spans="1:8" ht="12.75" customHeight="1">
      <c r="A28" s="68" t="str">
        <f>HLOOKUP(INDICE!$F$2,Nombres!$C$3:$E$853,30)</f>
        <v>(Million euros)</v>
      </c>
      <c r="B28" s="72"/>
      <c r="C28" s="211"/>
      <c r="D28" s="211"/>
      <c r="E28" s="211"/>
      <c r="F28" s="84"/>
      <c r="G28" s="212"/>
      <c r="H28" s="212"/>
    </row>
    <row r="29" spans="1:8" ht="13.5" customHeight="1">
      <c r="A29" s="72"/>
      <c r="B29" s="59">
        <v>42825</v>
      </c>
      <c r="C29" s="59">
        <v>42916</v>
      </c>
      <c r="D29" s="59">
        <v>43008</v>
      </c>
      <c r="E29" s="59">
        <v>43100</v>
      </c>
      <c r="F29" s="59">
        <v>43190</v>
      </c>
      <c r="G29" s="59">
        <v>43281</v>
      </c>
      <c r="H29" s="59">
        <v>43373</v>
      </c>
    </row>
    <row r="30" spans="1:8">
      <c r="A30" s="125" t="str">
        <f>HLOOKUP(INDICE!$F$2,Nombres!$C$3:$E$853,100)</f>
        <v>Cash, cash balances at central banks and other demand deposits</v>
      </c>
      <c r="B30" s="204">
        <v>2435.8292344399993</v>
      </c>
      <c r="C30" s="82">
        <v>2341.8090201499999</v>
      </c>
      <c r="D30" s="82">
        <v>1572.4443788199999</v>
      </c>
      <c r="E30" s="205">
        <v>4200.4102647600002</v>
      </c>
      <c r="F30" s="82">
        <v>3402.6687382800001</v>
      </c>
      <c r="G30" s="82">
        <v>3050.1404189600003</v>
      </c>
      <c r="H30" s="82">
        <v>3510.3900875400004</v>
      </c>
    </row>
    <row r="31" spans="1:8">
      <c r="A31" s="125" t="str">
        <f>HLOOKUP(INDICE!$F$2,Nombres!$C$3:$E$853,101)</f>
        <v xml:space="preserve">Financial assets designated at fair value </v>
      </c>
      <c r="B31" s="204">
        <v>84261.74363632001</v>
      </c>
      <c r="C31" s="82">
        <v>75742.135133720003</v>
      </c>
      <c r="D31" s="82">
        <v>72909.420757520013</v>
      </c>
      <c r="E31" s="205">
        <v>72877.971366429992</v>
      </c>
      <c r="F31" s="82">
        <v>101639.85285930002</v>
      </c>
      <c r="G31" s="82">
        <v>99618.969165020011</v>
      </c>
      <c r="H31" s="82">
        <v>93472.234621299969</v>
      </c>
    </row>
    <row r="32" spans="1:8">
      <c r="A32" s="125" t="str">
        <f>HLOOKUP(INDICE!$F$2,Nombres!$C$3:$E$853,406)</f>
        <v>Financial assets at amortized cost</v>
      </c>
      <c r="B32" s="204">
        <v>93001.831749352248</v>
      </c>
      <c r="C32" s="82">
        <v>91767.354900101869</v>
      </c>
      <c r="D32" s="82">
        <v>89310.272507671631</v>
      </c>
      <c r="E32" s="205">
        <v>93947.759502477129</v>
      </c>
      <c r="F32" s="82">
        <v>63089.975343930004</v>
      </c>
      <c r="G32" s="82">
        <v>66959.707349639997</v>
      </c>
      <c r="H32" s="82">
        <v>63967.916483400004</v>
      </c>
    </row>
    <row r="33" spans="1:8">
      <c r="A33" s="125" t="str">
        <f>HLOOKUP(INDICE!$F$2,Nombres!$C$3:$E$853,103)</f>
        <v xml:space="preserve">    of which loans and advances to customers</v>
      </c>
      <c r="B33" s="204">
        <v>69361.51107001226</v>
      </c>
      <c r="C33" s="82">
        <v>67417.893915181892</v>
      </c>
      <c r="D33" s="82">
        <v>64792.633708391637</v>
      </c>
      <c r="E33" s="205">
        <v>67528.715120097128</v>
      </c>
      <c r="F33" s="82">
        <v>55238.310191130004</v>
      </c>
      <c r="G33" s="82">
        <v>59032.620461719991</v>
      </c>
      <c r="H33" s="82">
        <v>56067.544948740004</v>
      </c>
    </row>
    <row r="34" spans="1:8">
      <c r="A34" s="125" t="str">
        <f>HLOOKUP(INDICE!$F$2,Nombres!$C$3:$E$853,105)</f>
        <v>Inter-area positions</v>
      </c>
      <c r="B34" s="213">
        <v>0</v>
      </c>
      <c r="C34" s="82">
        <v>0</v>
      </c>
      <c r="D34" s="82">
        <v>0</v>
      </c>
      <c r="E34" s="205">
        <v>0</v>
      </c>
      <c r="F34" s="82">
        <v>0</v>
      </c>
      <c r="G34" s="82">
        <v>0</v>
      </c>
      <c r="H34" s="82">
        <v>0</v>
      </c>
    </row>
    <row r="35" spans="1:8">
      <c r="A35" s="125" t="str">
        <f>HLOOKUP(INDICE!$F$2,Nombres!$C$3:$E$853,106)</f>
        <v>Tangible assets</v>
      </c>
      <c r="B35" s="214">
        <v>43.637863330000002</v>
      </c>
      <c r="C35" s="82">
        <v>41.44069348</v>
      </c>
      <c r="D35" s="82">
        <v>37.278697260000001</v>
      </c>
      <c r="E35" s="205">
        <v>34.75958593</v>
      </c>
      <c r="F35" s="82">
        <v>32.274665299999995</v>
      </c>
      <c r="G35" s="82">
        <v>31.715445099999997</v>
      </c>
      <c r="H35" s="82">
        <v>27.195233830000003</v>
      </c>
    </row>
    <row r="36" spans="1:8">
      <c r="A36" s="125" t="str">
        <f>HLOOKUP(INDICE!$F$2,Nombres!$C$3:$E$853,107)</f>
        <v>Other assets</v>
      </c>
      <c r="B36" s="204">
        <v>3422.5780818800008</v>
      </c>
      <c r="C36" s="82">
        <v>3059.1987227300001</v>
      </c>
      <c r="D36" s="82">
        <v>3872.5409456000002</v>
      </c>
      <c r="E36" s="205">
        <v>2342.2062033300003</v>
      </c>
      <c r="F36" s="82">
        <v>3221.2608555400002</v>
      </c>
      <c r="G36" s="82">
        <v>4693.464680869999</v>
      </c>
      <c r="H36" s="82">
        <v>3765.5400929999996</v>
      </c>
    </row>
    <row r="37" spans="1:8">
      <c r="A37" s="206" t="str">
        <f>HLOOKUP(INDICE!$F$2,Nombres!$C$3:$E$853,108)</f>
        <v>Total assets / Liabilities and equity</v>
      </c>
      <c r="B37" s="207">
        <v>183165.62056532226</v>
      </c>
      <c r="C37" s="208">
        <v>172951.93847018183</v>
      </c>
      <c r="D37" s="208">
        <v>167701.95728687162</v>
      </c>
      <c r="E37" s="209">
        <v>173403.1069229272</v>
      </c>
      <c r="F37" s="208">
        <v>171386.03246235001</v>
      </c>
      <c r="G37" s="208">
        <v>174353.99705959001</v>
      </c>
      <c r="H37" s="208">
        <v>164743.27651906997</v>
      </c>
    </row>
    <row r="38" spans="1:8">
      <c r="A38" s="125" t="str">
        <f>HLOOKUP(INDICE!$F$2,Nombres!$C$3:$E$853,111)</f>
        <v>Financial liabilities held for trading and designated at fair value through profit or loss</v>
      </c>
      <c r="B38" s="204">
        <v>53082.578786699996</v>
      </c>
      <c r="C38" s="82">
        <v>51507.208386390012</v>
      </c>
      <c r="D38" s="82">
        <v>47346.539676299995</v>
      </c>
      <c r="E38" s="205">
        <v>49059.942186080007</v>
      </c>
      <c r="F38" s="82">
        <v>90116.401995089996</v>
      </c>
      <c r="G38" s="82">
        <v>79925.988701560011</v>
      </c>
      <c r="H38" s="82">
        <v>77547.638576740006</v>
      </c>
    </row>
    <row r="39" spans="1:8">
      <c r="A39" s="125" t="str">
        <f>HLOOKUP(INDICE!$F$2,Nombres!$C$3:$E$853,109)</f>
        <v>Deposits from central banks and credit institutions</v>
      </c>
      <c r="B39" s="204">
        <v>39220.493655240003</v>
      </c>
      <c r="C39" s="82">
        <v>38996.173401170003</v>
      </c>
      <c r="D39" s="82">
        <v>36307.157252160003</v>
      </c>
      <c r="E39" s="205">
        <v>45426.889031749997</v>
      </c>
      <c r="F39" s="82">
        <v>14596.925919130001</v>
      </c>
      <c r="G39" s="82">
        <v>16408.802520040001</v>
      </c>
      <c r="H39" s="82">
        <v>15763.173799599997</v>
      </c>
    </row>
    <row r="40" spans="1:8">
      <c r="A40" s="125" t="str">
        <f>HLOOKUP(INDICE!$F$2,Nombres!$C$3:$E$853,110)</f>
        <v>Deposits from customers</v>
      </c>
      <c r="B40" s="204">
        <v>51327.699383236046</v>
      </c>
      <c r="C40" s="82">
        <v>52019.541615330563</v>
      </c>
      <c r="D40" s="82">
        <v>52619.57298261096</v>
      </c>
      <c r="E40" s="205">
        <v>48791.502219665403</v>
      </c>
      <c r="F40" s="82">
        <v>39159.048781969999</v>
      </c>
      <c r="G40" s="82">
        <v>40978.207505620005</v>
      </c>
      <c r="H40" s="82">
        <v>41868.623130840009</v>
      </c>
    </row>
    <row r="41" spans="1:8" ht="13.5" customHeight="1">
      <c r="A41" s="125" t="str">
        <f>HLOOKUP(INDICE!$F$2,Nombres!$C$3:$E$853,112)</f>
        <v>Debt certificates</v>
      </c>
      <c r="B41" s="204">
        <v>553.98987469999997</v>
      </c>
      <c r="C41" s="82">
        <v>480.77936325000002</v>
      </c>
      <c r="D41" s="82">
        <v>491.31654291000007</v>
      </c>
      <c r="E41" s="205">
        <v>522.85523789000013</v>
      </c>
      <c r="F41" s="82">
        <v>897.86142833999997</v>
      </c>
      <c r="G41" s="82">
        <v>1077.7411006300001</v>
      </c>
      <c r="H41" s="82">
        <v>983.13611554999989</v>
      </c>
    </row>
    <row r="42" spans="1:8" ht="13.5" customHeight="1">
      <c r="A42" s="125" t="str">
        <f>HLOOKUP(INDICE!$F$2,Nombres!$C$3:$E$853,113)</f>
        <v>Inter-area positions</v>
      </c>
      <c r="B42" s="204">
        <v>30718.487096086152</v>
      </c>
      <c r="C42" s="82">
        <v>22243.774464791255</v>
      </c>
      <c r="D42" s="82">
        <v>23162.305295420665</v>
      </c>
      <c r="E42" s="205">
        <v>21687.447288661795</v>
      </c>
      <c r="F42" s="82">
        <v>17595.724045509996</v>
      </c>
      <c r="G42" s="82">
        <v>26401.379998639954</v>
      </c>
      <c r="H42" s="82">
        <v>22423.890958719985</v>
      </c>
    </row>
    <row r="43" spans="1:8">
      <c r="A43" s="125" t="str">
        <f>HLOOKUP(INDICE!$F$2,Nombres!$C$3:$E$853,115)</f>
        <v>Other liabilities</v>
      </c>
      <c r="B43" s="204">
        <v>4040.776973640056</v>
      </c>
      <c r="C43" s="82">
        <v>3769.4617697100093</v>
      </c>
      <c r="D43" s="82">
        <v>3886.3901549300035</v>
      </c>
      <c r="E43" s="205">
        <v>3907.8959898099888</v>
      </c>
      <c r="F43" s="82">
        <v>5310.3770069800257</v>
      </c>
      <c r="G43" s="82">
        <v>5992.4754237500365</v>
      </c>
      <c r="H43" s="82">
        <v>2693.5868645899723</v>
      </c>
    </row>
    <row r="44" spans="1:8" ht="12.75" customHeight="1">
      <c r="A44" s="125" t="str">
        <f>HLOOKUP(INDICE!$F$2,Nombres!$C$3:$E$853,116)</f>
        <v>Economic capital allocated</v>
      </c>
      <c r="B44" s="204">
        <v>4221.5947957199996</v>
      </c>
      <c r="C44" s="82">
        <v>3934.9994695400001</v>
      </c>
      <c r="D44" s="82">
        <v>3888.6753825400001</v>
      </c>
      <c r="E44" s="205">
        <v>4006.57496907</v>
      </c>
      <c r="F44" s="82">
        <v>3709.6932853299959</v>
      </c>
      <c r="G44" s="82">
        <v>3569.4018093500003</v>
      </c>
      <c r="H44" s="82">
        <v>3463.2270730300002</v>
      </c>
    </row>
    <row r="45" spans="1:8" ht="12.75" customHeight="1">
      <c r="A45" s="125"/>
      <c r="B45" s="69"/>
      <c r="C45" s="82"/>
      <c r="D45" s="82"/>
      <c r="E45" s="82"/>
      <c r="F45" s="82"/>
      <c r="G45" s="82"/>
      <c r="H45" s="82"/>
    </row>
    <row r="46" spans="1:8" ht="18">
      <c r="A46" s="65" t="str">
        <f>HLOOKUP(INDICE!$F$2,Nombres!$C$3:$E$853,117)</f>
        <v>Relevant business indicators</v>
      </c>
      <c r="B46" s="67"/>
      <c r="C46" s="67"/>
      <c r="D46" s="67"/>
      <c r="E46" s="67"/>
      <c r="F46" s="89"/>
      <c r="G46" s="210"/>
      <c r="H46" s="210"/>
    </row>
    <row r="47" spans="1:8" ht="13.5" customHeight="1">
      <c r="A47" s="68" t="str">
        <f>HLOOKUP(INDICE!$F$2,Nombres!$C$3:$E$853,30)</f>
        <v>(Million euros)</v>
      </c>
      <c r="B47" s="72"/>
      <c r="C47" s="72"/>
      <c r="D47" s="72"/>
      <c r="E47" s="72"/>
      <c r="F47" s="84"/>
      <c r="G47" s="212"/>
      <c r="H47" s="212"/>
    </row>
    <row r="48" spans="1:8" ht="12.75" customHeight="1">
      <c r="A48" s="72"/>
      <c r="B48" s="59">
        <v>42825</v>
      </c>
      <c r="C48" s="59">
        <v>42916</v>
      </c>
      <c r="D48" s="59">
        <v>43008</v>
      </c>
      <c r="E48" s="59">
        <v>43100</v>
      </c>
      <c r="F48" s="59">
        <v>43190</v>
      </c>
      <c r="G48" s="59">
        <v>43281</v>
      </c>
      <c r="H48" s="59">
        <v>43373</v>
      </c>
    </row>
    <row r="49" spans="1:8" ht="12" customHeight="1">
      <c r="A49" s="125" t="str">
        <f>HLOOKUP(INDICE!$F$2,Nombres!$C$3:$E$853,118)</f>
        <v>Loans and advances to customers (gross) (*)</v>
      </c>
      <c r="B49" s="204">
        <v>69953.268681252244</v>
      </c>
      <c r="C49" s="82">
        <v>67983.905738891903</v>
      </c>
      <c r="D49" s="82">
        <v>65382.812418491623</v>
      </c>
      <c r="E49" s="205">
        <v>68124.939834597128</v>
      </c>
      <c r="F49" s="82">
        <v>55674.088929289996</v>
      </c>
      <c r="G49" s="82">
        <v>59421.956605030013</v>
      </c>
      <c r="H49" s="82">
        <v>56811.410653639992</v>
      </c>
    </row>
    <row r="50" spans="1:8">
      <c r="A50" s="125" t="str">
        <f>HLOOKUP(INDICE!$F$2,Nombres!$C$3:$E$853,121)</f>
        <v>Customer deposits under management (*)</v>
      </c>
      <c r="B50" s="204">
        <v>46365.049969966029</v>
      </c>
      <c r="C50" s="82">
        <v>44737.79845882058</v>
      </c>
      <c r="D50" s="82">
        <v>46715.07036061096</v>
      </c>
      <c r="E50" s="205">
        <v>44094.664658235408</v>
      </c>
      <c r="F50" s="82">
        <v>39034.600116410002</v>
      </c>
      <c r="G50" s="82">
        <v>37996</v>
      </c>
      <c r="H50" s="82">
        <v>39060.375058140009</v>
      </c>
    </row>
    <row r="51" spans="1:8">
      <c r="A51" s="125" t="str">
        <f>HLOOKUP(INDICE!$F$2,Nombres!$C$3:$E$853,122)</f>
        <v>Mutual funds</v>
      </c>
      <c r="B51" s="204">
        <v>1378.66390437</v>
      </c>
      <c r="C51" s="82">
        <v>1249.7925866999999</v>
      </c>
      <c r="D51" s="82">
        <v>1160.8179780200001</v>
      </c>
      <c r="E51" s="205">
        <v>1058.0853359299999</v>
      </c>
      <c r="F51" s="82">
        <v>1251.3794919699999</v>
      </c>
      <c r="G51" s="82">
        <v>1360</v>
      </c>
      <c r="H51" s="82">
        <v>957.43591674999993</v>
      </c>
    </row>
    <row r="52" spans="1:8">
      <c r="A52" s="125" t="str">
        <f>HLOOKUP(INDICE!$F$2,Nombres!$C$3:$E$853,206)</f>
        <v>Pension funds</v>
      </c>
      <c r="B52" s="204">
        <v>-9.9999999999999995E-7</v>
      </c>
      <c r="C52" s="82">
        <v>0</v>
      </c>
      <c r="D52" s="82">
        <v>0</v>
      </c>
      <c r="E52" s="205">
        <v>3.0000000000000004E-5</v>
      </c>
      <c r="F52" s="82">
        <v>0</v>
      </c>
      <c r="G52" s="82" t="s">
        <v>744</v>
      </c>
      <c r="H52" s="82">
        <v>0</v>
      </c>
    </row>
    <row r="53" spans="1:8">
      <c r="A53" s="125" t="str">
        <f>HLOOKUP(INDICE!$F$2,Nombres!$C$3:$E$853,308)</f>
        <v>Other off balance-sheet funds</v>
      </c>
      <c r="B53" s="204">
        <v>100.15310718000001</v>
      </c>
      <c r="C53" s="82">
        <v>116.72686586</v>
      </c>
      <c r="D53" s="82">
        <v>115.91402767</v>
      </c>
      <c r="E53" s="205">
        <v>299.16669793</v>
      </c>
      <c r="F53" s="82">
        <v>114.60733761</v>
      </c>
      <c r="G53" s="82">
        <v>298.90359501</v>
      </c>
      <c r="H53" s="82">
        <v>297.2821156</v>
      </c>
    </row>
    <row r="54" spans="1:8">
      <c r="A54" s="215" t="str">
        <f>HLOOKUP(INDICE!$F$2,Nombres!$C$3:$E$853,307)</f>
        <v xml:space="preserve">(*) Excluding repos. </v>
      </c>
      <c r="B54" s="69"/>
      <c r="C54" s="82"/>
      <c r="D54" s="82"/>
      <c r="E54" s="82"/>
      <c r="F54" s="82"/>
      <c r="G54" s="82"/>
      <c r="H54" s="82"/>
    </row>
    <row r="55" spans="1:8">
      <c r="A55" s="215" t="str">
        <f>HLOOKUP(INDICE!$F$2,Nombres!$C$3:$E$853,285)</f>
        <v xml:space="preserve"> </v>
      </c>
      <c r="B55" s="72"/>
      <c r="C55" s="72"/>
      <c r="D55" s="72"/>
      <c r="E55" s="72"/>
      <c r="F55" s="72"/>
      <c r="G55" s="72"/>
      <c r="H55" s="72"/>
    </row>
    <row r="56" spans="1:8">
      <c r="A56" s="215"/>
      <c r="B56" s="72"/>
      <c r="C56" s="72"/>
      <c r="D56" s="72"/>
      <c r="E56" s="72"/>
      <c r="F56" s="72"/>
      <c r="G56" s="72"/>
      <c r="H56" s="72"/>
    </row>
    <row r="57" spans="1:8" ht="18">
      <c r="A57" s="65" t="str">
        <f>HLOOKUP(INDICE!$F$2,Nombres!$C$3:$E$853,93)</f>
        <v xml:space="preserve">Income statement  </v>
      </c>
      <c r="B57" s="67"/>
      <c r="C57" s="199"/>
      <c r="D57" s="199"/>
      <c r="E57" s="199"/>
      <c r="F57" s="67"/>
      <c r="G57" s="210"/>
      <c r="H57" s="210"/>
    </row>
    <row r="58" spans="1:8">
      <c r="A58" s="68" t="str">
        <f>HLOOKUP(INDICE!$F$2,Nombres!$C$3:$E$853,31)</f>
        <v xml:space="preserve">(Constant million euros)    </v>
      </c>
      <c r="B58" s="72"/>
      <c r="C58" s="200"/>
      <c r="D58" s="200"/>
      <c r="E58" s="200"/>
      <c r="F58" s="72"/>
      <c r="G58" s="212"/>
      <c r="H58" s="212"/>
    </row>
    <row r="59" spans="1:8">
      <c r="A59" s="201"/>
      <c r="B59" s="72"/>
      <c r="C59" s="200"/>
      <c r="D59" s="200"/>
      <c r="E59" s="200"/>
      <c r="F59" s="72"/>
      <c r="G59" s="212"/>
      <c r="H59" s="212"/>
    </row>
    <row r="60" spans="1:8" ht="15.75">
      <c r="A60" s="73"/>
      <c r="B60" s="315">
        <v>2017</v>
      </c>
      <c r="C60" s="316"/>
      <c r="D60" s="316"/>
      <c r="E60" s="316"/>
      <c r="F60" s="315">
        <v>2018</v>
      </c>
      <c r="G60" s="316"/>
      <c r="H60" s="316"/>
    </row>
    <row r="61" spans="1:8" ht="15.75">
      <c r="A61" s="73"/>
      <c r="B61" s="93" t="str">
        <f>HLOOKUP(INDICE!$F$2,Nombres!$C$3:$E$857,34)</f>
        <v>1Q</v>
      </c>
      <c r="C61" s="93" t="str">
        <f>HLOOKUP(INDICE!$F$2,Nombres!$C$3:$E$857,35)</f>
        <v>2Q</v>
      </c>
      <c r="D61" s="93" t="str">
        <f>HLOOKUP(INDICE!$F$2,Nombres!$C$3:$E$857,36)</f>
        <v>3Q</v>
      </c>
      <c r="E61" s="93" t="str">
        <f>HLOOKUP(INDICE!$F$2,Nombres!$C$3:$E$857,37)</f>
        <v>4Q</v>
      </c>
      <c r="F61" s="93" t="str">
        <f>HLOOKUP(INDICE!$F$2,Nombres!$C$3:$E$857,34)</f>
        <v>1Q</v>
      </c>
      <c r="G61" s="93" t="str">
        <f>HLOOKUP(INDICE!$F$2,Nombres!$C$3:$E$857,35)</f>
        <v>2Q</v>
      </c>
      <c r="H61" s="93" t="str">
        <f>HLOOKUP(INDICE!$F$2,Nombres!$C$3:$E$857,36)</f>
        <v>3Q</v>
      </c>
    </row>
    <row r="62" spans="1:8">
      <c r="A62" s="139" t="str">
        <f>HLOOKUP(INDICE!$F$2,Nombres!$C$3:$E$853,38)</f>
        <v>Net interest income</v>
      </c>
      <c r="B62" s="202">
        <v>312.60416324662162</v>
      </c>
      <c r="C62" s="77">
        <v>291.83839443551153</v>
      </c>
      <c r="D62" s="77">
        <v>319.86891634216579</v>
      </c>
      <c r="E62" s="203">
        <v>320.17108618677605</v>
      </c>
      <c r="F62" s="139">
        <v>317.84227651994757</v>
      </c>
      <c r="G62" s="139">
        <v>320.65094416168802</v>
      </c>
      <c r="H62" s="139">
        <v>388.48318540836425</v>
      </c>
    </row>
    <row r="63" spans="1:8">
      <c r="A63" s="125" t="str">
        <f>HLOOKUP(INDICE!$F$2,Nombres!$C$3:$E$853,39)</f>
        <v>Net fees and commissions</v>
      </c>
      <c r="B63" s="204">
        <v>192.72073126377785</v>
      </c>
      <c r="C63" s="82">
        <v>175.69410028391468</v>
      </c>
      <c r="D63" s="82">
        <v>176.27969000801272</v>
      </c>
      <c r="E63" s="205">
        <v>163.43413621869973</v>
      </c>
      <c r="F63" s="216">
        <v>174.71731359949368</v>
      </c>
      <c r="G63" s="216">
        <v>191.88098376895522</v>
      </c>
      <c r="H63" s="216">
        <v>168.30991998155119</v>
      </c>
    </row>
    <row r="64" spans="1:8">
      <c r="A64" s="125" t="str">
        <f>HLOOKUP(INDICE!$F$2,Nombres!$C$3:$E$853,40)</f>
        <v>Net trading income</v>
      </c>
      <c r="B64" s="204">
        <v>283.94014963362486</v>
      </c>
      <c r="C64" s="82">
        <v>172.0989678980315</v>
      </c>
      <c r="D64" s="82">
        <v>164.71623746269029</v>
      </c>
      <c r="E64" s="205">
        <v>177.40799143382571</v>
      </c>
      <c r="F64" s="216">
        <v>262.15725969632763</v>
      </c>
      <c r="G64" s="216">
        <v>214.98587276936163</v>
      </c>
      <c r="H64" s="216">
        <v>193.42666092431071</v>
      </c>
    </row>
    <row r="65" spans="1:8" ht="17.25" customHeight="1">
      <c r="A65" s="125" t="str">
        <f>HLOOKUP(INDICE!$F$2,Nombres!$C$3:$E$853,95)</f>
        <v>Other operating income and expenses</v>
      </c>
      <c r="B65" s="204">
        <v>18.856004953054978</v>
      </c>
      <c r="C65" s="82">
        <v>74.223204987739265</v>
      </c>
      <c r="D65" s="82">
        <v>10.761961691237904</v>
      </c>
      <c r="E65" s="205">
        <v>9.3997869193509764</v>
      </c>
      <c r="F65" s="216">
        <v>-7.9149896247648366</v>
      </c>
      <c r="G65" s="216">
        <v>-7.0116463375249847</v>
      </c>
      <c r="H65" s="216">
        <v>-14.70775019771018</v>
      </c>
    </row>
    <row r="66" spans="1:8" ht="15.75" customHeight="1">
      <c r="A66" s="139" t="str">
        <f>HLOOKUP(INDICE!$F$2,Nombres!$C$3:$E$853,44)</f>
        <v>Gross income</v>
      </c>
      <c r="B66" s="202">
        <v>808.12104909707932</v>
      </c>
      <c r="C66" s="77">
        <v>713.85466760519694</v>
      </c>
      <c r="D66" s="77">
        <v>671.62680550410676</v>
      </c>
      <c r="E66" s="203">
        <v>670.41300075865252</v>
      </c>
      <c r="F66" s="139">
        <v>746.80186019100404</v>
      </c>
      <c r="G66" s="139">
        <v>720.50615436247983</v>
      </c>
      <c r="H66" s="139">
        <v>735.51201611651595</v>
      </c>
    </row>
    <row r="67" spans="1:8">
      <c r="A67" s="125" t="str">
        <f>HLOOKUP(INDICE!$F$2,Nombres!$C$3:$E$853,45)</f>
        <v>Operating expenses</v>
      </c>
      <c r="B67" s="204">
        <v>-258.05434260165964</v>
      </c>
      <c r="C67" s="82">
        <v>-245.48429352681904</v>
      </c>
      <c r="D67" s="82">
        <v>-241.32992088743606</v>
      </c>
      <c r="E67" s="205">
        <v>-268.04502931855052</v>
      </c>
      <c r="F67" s="216">
        <v>-253.80526838606426</v>
      </c>
      <c r="G67" s="216">
        <v>-248.93935785641858</v>
      </c>
      <c r="H67" s="216">
        <v>-254.54978939751717</v>
      </c>
    </row>
    <row r="68" spans="1:8">
      <c r="A68" s="125" t="str">
        <f>HLOOKUP(INDICE!$F$2,Nombres!$C$3:$E$853,46)</f>
        <v xml:space="preserve">  Administration expenses</v>
      </c>
      <c r="B68" s="204">
        <v>-232.81351645860849</v>
      </c>
      <c r="C68" s="82">
        <v>-219.20776518343365</v>
      </c>
      <c r="D68" s="82">
        <v>-214.73163424663701</v>
      </c>
      <c r="E68" s="205">
        <v>-240.10778973777701</v>
      </c>
      <c r="F68" s="216">
        <v>-226.43773580525118</v>
      </c>
      <c r="G68" s="216">
        <v>-221.73938336730799</v>
      </c>
      <c r="H68" s="216">
        <v>-227.10548349744079</v>
      </c>
    </row>
    <row r="69" spans="1:8">
      <c r="A69" s="141" t="str">
        <f>HLOOKUP(INDICE!$F$2,Nombres!$C$3:$E$853,47)</f>
        <v xml:space="preserve">  Personnel expenses</v>
      </c>
      <c r="B69" s="204">
        <v>-126.934975448198</v>
      </c>
      <c r="C69" s="82">
        <v>-115.23744733348704</v>
      </c>
      <c r="D69" s="82">
        <v>-111.0257358122369</v>
      </c>
      <c r="E69" s="205">
        <v>-135.40254493788527</v>
      </c>
      <c r="F69" s="216">
        <v>-120.05216288979446</v>
      </c>
      <c r="G69" s="216">
        <v>-105.14869934365586</v>
      </c>
      <c r="H69" s="216">
        <v>-114.36313694654966</v>
      </c>
    </row>
    <row r="70" spans="1:8">
      <c r="A70" s="141" t="str">
        <f>HLOOKUP(INDICE!$F$2,Nombres!$C$3:$E$853,48)</f>
        <v xml:space="preserve">  General and administrative expenses</v>
      </c>
      <c r="B70" s="204">
        <v>-105.8785410104105</v>
      </c>
      <c r="C70" s="82">
        <v>-103.97031784994658</v>
      </c>
      <c r="D70" s="82">
        <v>-103.7058984344001</v>
      </c>
      <c r="E70" s="205">
        <v>-104.70524479989177</v>
      </c>
      <c r="F70" s="216">
        <v>-106.38557291545673</v>
      </c>
      <c r="G70" s="216">
        <v>-116.59068402365213</v>
      </c>
      <c r="H70" s="216">
        <v>-112.74234655089113</v>
      </c>
    </row>
    <row r="71" spans="1:8" ht="13.5" customHeight="1">
      <c r="A71" s="125" t="str">
        <f>HLOOKUP(INDICE!$F$2,Nombres!$C$3:$E$853,49)</f>
        <v xml:space="preserve">  Depreciation</v>
      </c>
      <c r="B71" s="204">
        <v>-25.240826143051152</v>
      </c>
      <c r="C71" s="82">
        <v>-26.276528343385419</v>
      </c>
      <c r="D71" s="82">
        <v>-26.598286640799031</v>
      </c>
      <c r="E71" s="205">
        <v>-27.937239580773515</v>
      </c>
      <c r="F71" s="216">
        <v>-27.367532580813048</v>
      </c>
      <c r="G71" s="216">
        <v>-27.199974489110577</v>
      </c>
      <c r="H71" s="216">
        <v>-27.444305900076372</v>
      </c>
    </row>
    <row r="72" spans="1:8" ht="14.25" customHeight="1">
      <c r="A72" s="139" t="str">
        <f>HLOOKUP(INDICE!$F$2,Nombres!$C$3:$E$853,50)</f>
        <v>Operating income</v>
      </c>
      <c r="B72" s="202">
        <v>550.06670649541979</v>
      </c>
      <c r="C72" s="77">
        <v>468.37037407837795</v>
      </c>
      <c r="D72" s="77">
        <v>430.29688461667081</v>
      </c>
      <c r="E72" s="203">
        <v>402.367971440102</v>
      </c>
      <c r="F72" s="139">
        <v>492.99659180493973</v>
      </c>
      <c r="G72" s="139">
        <v>471.56679650606128</v>
      </c>
      <c r="H72" s="139">
        <v>480.96222671899875</v>
      </c>
    </row>
    <row r="73" spans="1:8">
      <c r="A73" s="125" t="str">
        <f>HLOOKUP(INDICE!$F$2,Nombres!$C$3:$E$853,51)</f>
        <v>Impaiment on financial assets not measured at fair value through profit or loss</v>
      </c>
      <c r="B73" s="204">
        <v>-6.7802236650394203</v>
      </c>
      <c r="C73" s="82">
        <v>-8.196086320825362</v>
      </c>
      <c r="D73" s="82">
        <v>-12.343148751574834</v>
      </c>
      <c r="E73" s="205">
        <v>-98.184332328372633</v>
      </c>
      <c r="F73" s="216">
        <v>16.139336867747204</v>
      </c>
      <c r="G73" s="216">
        <v>-11.840481738136353</v>
      </c>
      <c r="H73" s="216">
        <v>-45.937966909610864</v>
      </c>
    </row>
    <row r="74" spans="1:8" ht="16.5" customHeight="1">
      <c r="A74" s="125" t="str">
        <f>HLOOKUP(INDICE!$F$2,Nombres!$C$3:$E$853,160)</f>
        <v>Provisions or reversal of provisions and other results</v>
      </c>
      <c r="B74" s="204">
        <v>-15.20039848713634</v>
      </c>
      <c r="C74" s="82">
        <v>-9.0535865146418164</v>
      </c>
      <c r="D74" s="82">
        <v>-5.5741176233273926</v>
      </c>
      <c r="E74" s="205">
        <v>-11.169450016036292</v>
      </c>
      <c r="F74" s="216">
        <v>-25.567458012065728</v>
      </c>
      <c r="G74" s="216">
        <v>5.1991633036499048</v>
      </c>
      <c r="H74" s="216">
        <v>-6.7633445115841759</v>
      </c>
    </row>
    <row r="75" spans="1:8" ht="12.75" customHeight="1">
      <c r="A75" s="139" t="str">
        <f>HLOOKUP(INDICE!$F$2,Nombres!$C$3:$E$853,54)</f>
        <v>Profit/(loss) before tax</v>
      </c>
      <c r="B75" s="202">
        <v>528.08608434324401</v>
      </c>
      <c r="C75" s="77">
        <v>451.1207012429108</v>
      </c>
      <c r="D75" s="77">
        <v>412.37961824176853</v>
      </c>
      <c r="E75" s="203">
        <v>293.01418909569298</v>
      </c>
      <c r="F75" s="139">
        <v>483.56847066062119</v>
      </c>
      <c r="G75" s="139">
        <v>464.92547807157484</v>
      </c>
      <c r="H75" s="139">
        <v>428.26091529780376</v>
      </c>
    </row>
    <row r="76" spans="1:8" ht="13.5" customHeight="1">
      <c r="A76" s="125" t="str">
        <f>HLOOKUP(INDICE!$F$2,Nombres!$C$3:$E$853,55)</f>
        <v>Income tax</v>
      </c>
      <c r="B76" s="204">
        <v>-142.6372766485332</v>
      </c>
      <c r="C76" s="82">
        <v>-122.56081292629085</v>
      </c>
      <c r="D76" s="82">
        <v>-110.25768262551333</v>
      </c>
      <c r="E76" s="205">
        <v>-64.820856764402251</v>
      </c>
      <c r="F76" s="216">
        <v>-128.99616037727441</v>
      </c>
      <c r="G76" s="216">
        <v>-124.56755652623953</v>
      </c>
      <c r="H76" s="216">
        <v>-70.584532816486018</v>
      </c>
    </row>
    <row r="77" spans="1:8" ht="12.75" customHeight="1">
      <c r="A77" s="139" t="str">
        <f>HLOOKUP(INDICE!$F$2,Nombres!$C$3:$E$853,56)</f>
        <v>Profit/(loss) for the year</v>
      </c>
      <c r="B77" s="202">
        <v>385.44880769471075</v>
      </c>
      <c r="C77" s="77">
        <v>328.55988831661995</v>
      </c>
      <c r="D77" s="77">
        <v>302.1219356162552</v>
      </c>
      <c r="E77" s="203">
        <v>228.19333233129078</v>
      </c>
      <c r="F77" s="139">
        <v>354.57231028334678</v>
      </c>
      <c r="G77" s="139">
        <v>340.35792154533533</v>
      </c>
      <c r="H77" s="139">
        <v>357.67638248131766</v>
      </c>
    </row>
    <row r="78" spans="1:8" ht="12.75" customHeight="1">
      <c r="A78" s="125" t="str">
        <f>HLOOKUP(INDICE!$F$2,Nombres!$C$3:$E$853,57)</f>
        <v>Non-controlling interests</v>
      </c>
      <c r="B78" s="204">
        <v>-58.12488618452943</v>
      </c>
      <c r="C78" s="82">
        <v>-56.565215297949038</v>
      </c>
      <c r="D78" s="82">
        <v>-58.620372792600556</v>
      </c>
      <c r="E78" s="205">
        <v>-32.295348220407504</v>
      </c>
      <c r="F78" s="216">
        <v>-51.995469520832287</v>
      </c>
      <c r="G78" s="216">
        <v>-61.889281909964112</v>
      </c>
      <c r="H78" s="216">
        <v>-91.181585829203598</v>
      </c>
    </row>
    <row r="79" spans="1:8" ht="15" customHeight="1">
      <c r="A79" s="206" t="str">
        <f>HLOOKUP(INDICE!$F$2,Nombres!$C$3:$E$853,58)</f>
        <v>Net attributable profit</v>
      </c>
      <c r="B79" s="207">
        <v>327.32392151018132</v>
      </c>
      <c r="C79" s="208">
        <v>271.99467301867088</v>
      </c>
      <c r="D79" s="208">
        <v>243.50156282365464</v>
      </c>
      <c r="E79" s="209">
        <v>195.89798411088327</v>
      </c>
      <c r="F79" s="206">
        <v>302.57684076251451</v>
      </c>
      <c r="G79" s="206">
        <v>278.46863963537123</v>
      </c>
      <c r="H79" s="206">
        <v>266.49479665211413</v>
      </c>
    </row>
    <row r="80" spans="1:8" ht="15" customHeight="1">
      <c r="A80" s="72"/>
      <c r="B80" s="72"/>
      <c r="C80" s="72"/>
      <c r="D80" s="72"/>
      <c r="E80" s="72"/>
      <c r="F80" s="72"/>
      <c r="G80" s="72"/>
      <c r="H80" s="72"/>
    </row>
    <row r="81" spans="1:8" ht="17.25" customHeight="1">
      <c r="A81" s="65" t="str">
        <f>HLOOKUP(INDICE!$F$2,Nombres!$C$3:$E$853,94)</f>
        <v>Balance sheets</v>
      </c>
      <c r="B81" s="67"/>
      <c r="C81" s="67"/>
      <c r="D81" s="67"/>
      <c r="E81" s="67"/>
      <c r="F81" s="67"/>
      <c r="G81" s="210"/>
      <c r="H81" s="210"/>
    </row>
    <row r="82" spans="1:8">
      <c r="A82" s="68" t="str">
        <f>HLOOKUP(INDICE!$F$2,Nombres!$C$3:$E$853,31)</f>
        <v xml:space="preserve">(Constant million euros)    </v>
      </c>
      <c r="B82" s="72"/>
      <c r="C82" s="211"/>
      <c r="D82" s="211"/>
      <c r="E82" s="211"/>
      <c r="F82" s="72"/>
      <c r="G82" s="212"/>
      <c r="H82" s="212"/>
    </row>
    <row r="83" spans="1:8" ht="15.75">
      <c r="A83" s="72"/>
      <c r="B83" s="59">
        <v>42825</v>
      </c>
      <c r="C83" s="59">
        <v>42916</v>
      </c>
      <c r="D83" s="59">
        <v>43008</v>
      </c>
      <c r="E83" s="59">
        <v>43100</v>
      </c>
      <c r="F83" s="59">
        <v>43190</v>
      </c>
      <c r="G83" s="59">
        <v>43281</v>
      </c>
      <c r="H83" s="59">
        <v>43373</v>
      </c>
    </row>
    <row r="84" spans="1:8">
      <c r="A84" s="125" t="str">
        <f>HLOOKUP(INDICE!$F$2,Nombres!$C$3:$E$853,100)</f>
        <v>Cash, cash balances at central banks and other demand deposits</v>
      </c>
      <c r="B84" s="204">
        <v>2306.0675166615842</v>
      </c>
      <c r="C84" s="82">
        <v>2306.6575053605743</v>
      </c>
      <c r="D84" s="82">
        <v>1599.6446283506555</v>
      </c>
      <c r="E84" s="205">
        <v>4342.1682887111801</v>
      </c>
      <c r="F84" s="82">
        <v>3572.9321482940345</v>
      </c>
      <c r="G84" s="82">
        <v>3039.7560625224037</v>
      </c>
      <c r="H84" s="82">
        <v>3510.3900875400004</v>
      </c>
    </row>
    <row r="85" spans="1:8">
      <c r="A85" s="125" t="str">
        <f>HLOOKUP(INDICE!$F$2,Nombres!$C$3:$E$853,101)</f>
        <v xml:space="preserve">Financial assets designated at fair value </v>
      </c>
      <c r="B85" s="204">
        <v>82060.903195670471</v>
      </c>
      <c r="C85" s="82">
        <v>74553.55774036501</v>
      </c>
      <c r="D85" s="82">
        <v>72468.988560921338</v>
      </c>
      <c r="E85" s="205">
        <v>73780.045067759347</v>
      </c>
      <c r="F85" s="82">
        <v>102061.40374543004</v>
      </c>
      <c r="G85" s="82">
        <v>100274.61241834544</v>
      </c>
      <c r="H85" s="82">
        <v>93472.234621299969</v>
      </c>
    </row>
    <row r="86" spans="1:8">
      <c r="A86" s="125" t="str">
        <f>HLOOKUP(INDICE!$F$2,Nombres!$C$3:$E$853,406)</f>
        <v>Financial assets at amortized cost</v>
      </c>
      <c r="B86" s="204">
        <v>85083.326110374765</v>
      </c>
      <c r="C86" s="82">
        <v>85817.076198123177</v>
      </c>
      <c r="D86" s="82">
        <v>84808.883073220291</v>
      </c>
      <c r="E86" s="205">
        <v>91273.863587990127</v>
      </c>
      <c r="F86" s="82">
        <v>60755.576583358539</v>
      </c>
      <c r="G86" s="82">
        <v>64996.609703029339</v>
      </c>
      <c r="H86" s="82">
        <v>63967.916483400004</v>
      </c>
    </row>
    <row r="87" spans="1:8">
      <c r="A87" s="125" t="str">
        <f>HLOOKUP(INDICE!$F$2,Nombres!$C$3:$E$853,103)</f>
        <v xml:space="preserve">    of which loans and advances to customers</v>
      </c>
      <c r="B87" s="204">
        <v>62469.65626308271</v>
      </c>
      <c r="C87" s="82">
        <v>62182.13427518306</v>
      </c>
      <c r="D87" s="82">
        <v>60828.067409518662</v>
      </c>
      <c r="E87" s="205">
        <v>65129.085107795647</v>
      </c>
      <c r="F87" s="82">
        <v>53177.976224861195</v>
      </c>
      <c r="G87" s="82">
        <v>57252.237955569799</v>
      </c>
      <c r="H87" s="82">
        <v>56067.544948740004</v>
      </c>
    </row>
    <row r="88" spans="1:8">
      <c r="A88" s="125" t="str">
        <f>HLOOKUP(INDICE!$F$2,Nombres!$C$3:$E$853,105)</f>
        <v>Inter-area positions</v>
      </c>
      <c r="B88" s="213">
        <v>0</v>
      </c>
      <c r="C88" s="82">
        <v>0</v>
      </c>
      <c r="D88" s="82">
        <v>0</v>
      </c>
      <c r="E88" s="205">
        <v>0</v>
      </c>
      <c r="F88" s="82">
        <v>0</v>
      </c>
      <c r="G88" s="82">
        <v>0</v>
      </c>
      <c r="H88" s="82">
        <v>0</v>
      </c>
    </row>
    <row r="89" spans="1:8">
      <c r="A89" s="125" t="str">
        <f>HLOOKUP(INDICE!$F$2,Nombres!$C$3:$E$853,106)</f>
        <v>Tangible assets</v>
      </c>
      <c r="B89" s="214">
        <v>37.104044046153021</v>
      </c>
      <c r="C89" s="82">
        <v>36.248665175891638</v>
      </c>
      <c r="D89" s="82">
        <v>33.534777082660071</v>
      </c>
      <c r="E89" s="205">
        <v>33.133463367194253</v>
      </c>
      <c r="F89" s="82">
        <v>30.543201637810668</v>
      </c>
      <c r="G89" s="82">
        <v>30.540008183120285</v>
      </c>
      <c r="H89" s="82">
        <v>27.195233830000003</v>
      </c>
    </row>
    <row r="90" spans="1:8">
      <c r="A90" s="125" t="str">
        <f>HLOOKUP(INDICE!$F$2,Nombres!$C$3:$E$853,107)</f>
        <v>Other assets</v>
      </c>
      <c r="B90" s="204">
        <v>3185.5829356967442</v>
      </c>
      <c r="C90" s="82">
        <v>2957.0359453502133</v>
      </c>
      <c r="D90" s="82">
        <v>3787.6770722775132</v>
      </c>
      <c r="E90" s="205">
        <v>2294.198896127411</v>
      </c>
      <c r="F90" s="82">
        <v>3247.8042037609516</v>
      </c>
      <c r="G90" s="82">
        <v>4746.6228863886363</v>
      </c>
      <c r="H90" s="82">
        <v>3765.5400929999996</v>
      </c>
    </row>
    <row r="91" spans="1:8">
      <c r="A91" s="206" t="str">
        <f>HLOOKUP(INDICE!$F$2,Nombres!$C$3:$E$853,108)</f>
        <v>Total assets / Liabilities and equity</v>
      </c>
      <c r="B91" s="207">
        <v>172672.98380244974</v>
      </c>
      <c r="C91" s="208">
        <v>165670.57605437483</v>
      </c>
      <c r="D91" s="208">
        <v>162698.72811185246</v>
      </c>
      <c r="E91" s="209">
        <v>171723.4093039553</v>
      </c>
      <c r="F91" s="208">
        <v>169668.25988248139</v>
      </c>
      <c r="G91" s="208">
        <v>173088.14107846897</v>
      </c>
      <c r="H91" s="208">
        <v>164743.27651906997</v>
      </c>
    </row>
    <row r="92" spans="1:8">
      <c r="A92" s="125" t="str">
        <f>HLOOKUP(INDICE!$F$2,Nombres!$C$3:$E$853,111)</f>
        <v>Financial liabilities held for trading and designated at fair value through profit or loss</v>
      </c>
      <c r="B92" s="204">
        <v>52538.981448039056</v>
      </c>
      <c r="C92" s="82">
        <v>51280.245207853957</v>
      </c>
      <c r="D92" s="82">
        <v>47291.136513871606</v>
      </c>
      <c r="E92" s="205">
        <v>49178.580319934896</v>
      </c>
      <c r="F92" s="82">
        <v>90568.239603413967</v>
      </c>
      <c r="G92" s="82">
        <v>80149.873891091323</v>
      </c>
      <c r="H92" s="82">
        <v>77547.638576740006</v>
      </c>
    </row>
    <row r="93" spans="1:8">
      <c r="A93" s="125" t="str">
        <f>HLOOKUP(INDICE!$F$2,Nombres!$C$3:$E$853,109)</f>
        <v>Deposits from central banks and credit institutions</v>
      </c>
      <c r="B93" s="204">
        <v>38172.198570576875</v>
      </c>
      <c r="C93" s="82">
        <v>38322.398019103799</v>
      </c>
      <c r="D93" s="82">
        <v>36139.461999344327</v>
      </c>
      <c r="E93" s="205">
        <v>46237.633980475686</v>
      </c>
      <c r="F93" s="82">
        <v>14662.746391198461</v>
      </c>
      <c r="G93" s="82">
        <v>16576.860387317447</v>
      </c>
      <c r="H93" s="82">
        <v>15763.173799599997</v>
      </c>
    </row>
    <row r="94" spans="1:8">
      <c r="A94" s="125" t="str">
        <f>HLOOKUP(INDICE!$F$2,Nombres!$C$3:$E$853,110)</f>
        <v>Deposits from customers</v>
      </c>
      <c r="B94" s="204">
        <v>46767.395060123788</v>
      </c>
      <c r="C94" s="82">
        <v>48668.311792657201</v>
      </c>
      <c r="D94" s="82">
        <v>49900.08075597656</v>
      </c>
      <c r="E94" s="205">
        <v>47330.680054084056</v>
      </c>
      <c r="F94" s="82">
        <v>37659.950990479723</v>
      </c>
      <c r="G94" s="82">
        <v>39967.499705055903</v>
      </c>
      <c r="H94" s="82">
        <v>41868.623130840009</v>
      </c>
    </row>
    <row r="95" spans="1:8">
      <c r="A95" s="125" t="str">
        <f>HLOOKUP(INDICE!$F$2,Nombres!$C$3:$E$853,112)</f>
        <v>Debt certificates</v>
      </c>
      <c r="B95" s="204">
        <v>549.85549841579257</v>
      </c>
      <c r="C95" s="82">
        <v>480.08339522392464</v>
      </c>
      <c r="D95" s="82">
        <v>492.01723760842486</v>
      </c>
      <c r="E95" s="205">
        <v>524.34607727323134</v>
      </c>
      <c r="F95" s="82">
        <v>916.2919052998916</v>
      </c>
      <c r="G95" s="82">
        <v>1095.9581685883513</v>
      </c>
      <c r="H95" s="82">
        <v>983.13611554999989</v>
      </c>
    </row>
    <row r="96" spans="1:8">
      <c r="A96" s="125" t="str">
        <f>HLOOKUP(INDICE!$F$2,Nombres!$C$3:$E$853,113)</f>
        <v>Inter-area positions</v>
      </c>
      <c r="B96" s="204">
        <v>26771.441333590214</v>
      </c>
      <c r="C96" s="82">
        <v>19480.581249048751</v>
      </c>
      <c r="D96" s="82">
        <v>21321.278008498382</v>
      </c>
      <c r="E96" s="205">
        <v>20561.594280809593</v>
      </c>
      <c r="F96" s="82">
        <v>16920.747461975192</v>
      </c>
      <c r="G96" s="82">
        <v>25808.701411380491</v>
      </c>
      <c r="H96" s="82">
        <v>22423.890958719985</v>
      </c>
    </row>
    <row r="97" spans="1:8" ht="12" customHeight="1">
      <c r="A97" s="125" t="str">
        <f>HLOOKUP(INDICE!$F$2,Nombres!$C$3:$E$853,115)</f>
        <v>Other liabilities</v>
      </c>
      <c r="B97" s="204">
        <v>3910.7661954083937</v>
      </c>
      <c r="C97" s="69">
        <v>3697.5748675085338</v>
      </c>
      <c r="D97" s="69">
        <v>3843.6336687114613</v>
      </c>
      <c r="E97" s="69">
        <v>3971.3368766865501</v>
      </c>
      <c r="F97" s="204">
        <v>5259.5350995098852</v>
      </c>
      <c r="G97" s="69">
        <v>5949.699163356785</v>
      </c>
      <c r="H97" s="69">
        <v>2693.5868645899723</v>
      </c>
    </row>
    <row r="98" spans="1:8" ht="12" customHeight="1">
      <c r="A98" s="125" t="str">
        <f>HLOOKUP(INDICE!$F$2,Nombres!$C$3:$E$853,116)</f>
        <v>Economic capital allocated</v>
      </c>
      <c r="B98" s="204">
        <v>3962.3456962956211</v>
      </c>
      <c r="C98" s="82">
        <v>3741.3815229786564</v>
      </c>
      <c r="D98" s="82">
        <v>3711.1199278416993</v>
      </c>
      <c r="E98" s="205">
        <v>3919.2377146912763</v>
      </c>
      <c r="F98" s="82">
        <v>3680.7484306042716</v>
      </c>
      <c r="G98" s="82">
        <v>3539.5483516786667</v>
      </c>
      <c r="H98" s="82">
        <v>3463.2270730300002</v>
      </c>
    </row>
    <row r="99" spans="1:8" ht="12" customHeight="1">
      <c r="A99" s="125"/>
      <c r="B99" s="69"/>
      <c r="C99" s="82"/>
      <c r="D99" s="82"/>
      <c r="E99" s="82"/>
      <c r="F99" s="82"/>
      <c r="G99" s="82"/>
      <c r="H99" s="82"/>
    </row>
    <row r="100" spans="1:8" ht="18">
      <c r="A100" s="65" t="str">
        <f>HLOOKUP(INDICE!$F$2,Nombres!$C$3:$E$853,117)</f>
        <v>Relevant business indicators</v>
      </c>
      <c r="B100" s="67"/>
      <c r="C100" s="67"/>
      <c r="D100" s="67"/>
      <c r="E100" s="67"/>
      <c r="F100" s="67"/>
      <c r="G100" s="210"/>
      <c r="H100" s="210"/>
    </row>
    <row r="101" spans="1:8" ht="12" customHeight="1">
      <c r="A101" s="68" t="str">
        <f>HLOOKUP(INDICE!$F$2,Nombres!$C$3:$E$853,31)</f>
        <v xml:space="preserve">(Constant million euros)    </v>
      </c>
      <c r="B101" s="72"/>
      <c r="C101" s="72"/>
      <c r="D101" s="72"/>
      <c r="E101" s="72"/>
      <c r="F101" s="72"/>
      <c r="G101" s="212"/>
      <c r="H101" s="212"/>
    </row>
    <row r="102" spans="1:8" ht="15.75">
      <c r="A102" s="72"/>
      <c r="B102" s="59">
        <v>42825</v>
      </c>
      <c r="C102" s="59">
        <v>42916</v>
      </c>
      <c r="D102" s="59">
        <v>43008</v>
      </c>
      <c r="E102" s="59">
        <v>43100</v>
      </c>
      <c r="F102" s="59">
        <v>43190</v>
      </c>
      <c r="G102" s="59">
        <v>43281</v>
      </c>
      <c r="H102" s="59">
        <v>43373</v>
      </c>
    </row>
    <row r="103" spans="1:8">
      <c r="A103" s="125" t="str">
        <f>HLOOKUP(INDICE!$F$2,Nombres!$C$3:$E$853,118)</f>
        <v>Loans and advances to customers (gross) (*)</v>
      </c>
      <c r="B103" s="214">
        <v>56117.491859748625</v>
      </c>
      <c r="C103" s="69">
        <v>56108.221339589363</v>
      </c>
      <c r="D103" s="69">
        <v>55570.67874901597</v>
      </c>
      <c r="E103" s="69">
        <v>54447.753298339347</v>
      </c>
      <c r="F103" s="214">
        <v>53582.4527466277</v>
      </c>
      <c r="G103" s="69">
        <v>57639.771518293717</v>
      </c>
      <c r="H103" s="69">
        <f>+H49</f>
        <v>56811.410653639992</v>
      </c>
    </row>
    <row r="104" spans="1:8">
      <c r="A104" s="125" t="str">
        <f>HLOOKUP(INDICE!$F$2,Nombres!$C$3:$E$853,121)</f>
        <v>Customer deposits under management (*)</v>
      </c>
      <c r="B104" s="214">
        <v>41806.44084878522</v>
      </c>
      <c r="C104" s="69">
        <v>41386.514763861131</v>
      </c>
      <c r="D104" s="69">
        <v>43995.578133976589</v>
      </c>
      <c r="E104" s="69">
        <v>42632.944933355502</v>
      </c>
      <c r="F104" s="214">
        <v>37537.225706709723</v>
      </c>
      <c r="G104" s="69">
        <v>36607.374405403338</v>
      </c>
      <c r="H104" s="69">
        <f t="shared" ref="H104:H107" si="0">+H50</f>
        <v>39060.375058140009</v>
      </c>
    </row>
    <row r="105" spans="1:8">
      <c r="A105" s="125" t="str">
        <f>HLOOKUP(INDICE!$F$2,Nombres!$C$3:$E$853,122)</f>
        <v>Mutual funds</v>
      </c>
      <c r="B105" s="214">
        <v>1034.7460232324388</v>
      </c>
      <c r="C105" s="69">
        <v>1028.5534880459361</v>
      </c>
      <c r="D105" s="69">
        <v>1000.5643451147704</v>
      </c>
      <c r="E105" s="69">
        <v>883.03347342404493</v>
      </c>
      <c r="F105" s="214">
        <v>1107.1867285328437</v>
      </c>
      <c r="G105" s="69">
        <v>1301.419600515291</v>
      </c>
      <c r="H105" s="69">
        <f t="shared" si="0"/>
        <v>957.43591674999993</v>
      </c>
    </row>
    <row r="106" spans="1:8">
      <c r="A106" s="125" t="str">
        <f>HLOOKUP(INDICE!$F$2,Nombres!$C$3:$E$853,206)</f>
        <v>Pension funds</v>
      </c>
      <c r="B106" s="213">
        <v>-9.9999999999999995E-7</v>
      </c>
      <c r="C106" s="82">
        <v>0</v>
      </c>
      <c r="D106" s="82">
        <v>0</v>
      </c>
      <c r="E106" s="82">
        <v>3.0000000000000004E-5</v>
      </c>
      <c r="F106" s="213" t="s">
        <v>744</v>
      </c>
      <c r="G106" s="82">
        <v>0</v>
      </c>
      <c r="H106" s="69">
        <f t="shared" si="0"/>
        <v>0</v>
      </c>
    </row>
    <row r="107" spans="1:8">
      <c r="A107" s="125" t="str">
        <f>HLOOKUP(INDICE!$F$2,Nombres!$C$3:$E$853,308)</f>
        <v>Other off balance-sheet funds</v>
      </c>
      <c r="B107" s="213">
        <v>92.354755829740554</v>
      </c>
      <c r="C107" s="82">
        <v>110.39752919122392</v>
      </c>
      <c r="D107" s="82">
        <v>114.24503696710764</v>
      </c>
      <c r="E107" s="82">
        <v>324.87557271660836</v>
      </c>
      <c r="F107" s="213">
        <v>118.49273409797365</v>
      </c>
      <c r="G107" s="82">
        <v>313.97134054461111</v>
      </c>
      <c r="H107" s="69">
        <f t="shared" si="0"/>
        <v>297.2821156</v>
      </c>
    </row>
    <row r="108" spans="1:8">
      <c r="A108" s="215" t="str">
        <f>HLOOKUP(INDICE!$F$2,Nombres!$C$3:$E$853,307)</f>
        <v xml:space="preserve">(*) Excluding repos. </v>
      </c>
      <c r="B108" s="212"/>
      <c r="C108" s="216"/>
      <c r="D108" s="216"/>
      <c r="E108" s="216"/>
      <c r="F108" s="216"/>
      <c r="G108" s="72"/>
      <c r="H108" s="72"/>
    </row>
    <row r="109" spans="1:8">
      <c r="A109" s="215" t="str">
        <f>HLOOKUP(INDICE!$F$2,Nombres!$C$3:$E$853,285)</f>
        <v xml:space="preserve"> </v>
      </c>
      <c r="B109" s="212"/>
      <c r="C109" s="216"/>
      <c r="D109" s="216"/>
      <c r="E109" s="216"/>
      <c r="F109" s="216"/>
      <c r="G109" s="72"/>
      <c r="H109" s="72"/>
    </row>
    <row r="110" spans="1:8">
      <c r="A110" s="72"/>
      <c r="B110" s="72"/>
      <c r="C110" s="72"/>
      <c r="D110" s="72"/>
      <c r="E110" s="72"/>
      <c r="F110" s="72"/>
      <c r="G110" s="72"/>
      <c r="H110" s="72"/>
    </row>
    <row r="111" spans="1:8">
      <c r="A111" s="72"/>
      <c r="B111" s="72"/>
      <c r="C111" s="72"/>
      <c r="D111" s="72"/>
      <c r="E111" s="72"/>
      <c r="F111" s="72"/>
      <c r="G111" s="72"/>
      <c r="H111" s="72"/>
    </row>
  </sheetData>
  <mergeCells count="4">
    <mergeCell ref="B6:E6"/>
    <mergeCell ref="F6:H6"/>
    <mergeCell ref="B60:E60"/>
    <mergeCell ref="F60:H6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85" zoomScaleNormal="85" workbookViewId="0"/>
  </sheetViews>
  <sheetFormatPr baseColWidth="10" defaultColWidth="12.5703125" defaultRowHeight="12.75"/>
  <cols>
    <col min="1" max="1" width="40.7109375" style="110" customWidth="1"/>
    <col min="2" max="8" width="12.7109375" style="110" customWidth="1"/>
    <col min="9" max="255" width="12.5703125" style="110"/>
    <col min="256" max="256" width="40.7109375" style="110" customWidth="1"/>
    <col min="257" max="264" width="12.7109375" style="110" customWidth="1"/>
    <col min="265" max="511" width="12.5703125" style="110"/>
    <col min="512" max="512" width="40.7109375" style="110" customWidth="1"/>
    <col min="513" max="520" width="12.7109375" style="110" customWidth="1"/>
    <col min="521" max="767" width="12.5703125" style="110"/>
    <col min="768" max="768" width="40.7109375" style="110" customWidth="1"/>
    <col min="769" max="776" width="12.7109375" style="110" customWidth="1"/>
    <col min="777" max="1023" width="12.5703125" style="110"/>
    <col min="1024" max="1024" width="40.7109375" style="110" customWidth="1"/>
    <col min="1025" max="1032" width="12.7109375" style="110" customWidth="1"/>
    <col min="1033" max="1279" width="12.5703125" style="110"/>
    <col min="1280" max="1280" width="40.7109375" style="110" customWidth="1"/>
    <col min="1281" max="1288" width="12.7109375" style="110" customWidth="1"/>
    <col min="1289" max="1535" width="12.5703125" style="110"/>
    <col min="1536" max="1536" width="40.7109375" style="110" customWidth="1"/>
    <col min="1537" max="1544" width="12.7109375" style="110" customWidth="1"/>
    <col min="1545" max="1791" width="12.5703125" style="110"/>
    <col min="1792" max="1792" width="40.7109375" style="110" customWidth="1"/>
    <col min="1793" max="1800" width="12.7109375" style="110" customWidth="1"/>
    <col min="1801" max="2047" width="12.5703125" style="110"/>
    <col min="2048" max="2048" width="40.7109375" style="110" customWidth="1"/>
    <col min="2049" max="2056" width="12.7109375" style="110" customWidth="1"/>
    <col min="2057" max="2303" width="12.5703125" style="110"/>
    <col min="2304" max="2304" width="40.7109375" style="110" customWidth="1"/>
    <col min="2305" max="2312" width="12.7109375" style="110" customWidth="1"/>
    <col min="2313" max="2559" width="12.5703125" style="110"/>
    <col min="2560" max="2560" width="40.7109375" style="110" customWidth="1"/>
    <col min="2561" max="2568" width="12.7109375" style="110" customWidth="1"/>
    <col min="2569" max="2815" width="12.5703125" style="110"/>
    <col min="2816" max="2816" width="40.7109375" style="110" customWidth="1"/>
    <col min="2817" max="2824" width="12.7109375" style="110" customWidth="1"/>
    <col min="2825" max="3071" width="12.5703125" style="110"/>
    <col min="3072" max="3072" width="40.7109375" style="110" customWidth="1"/>
    <col min="3073" max="3080" width="12.7109375" style="110" customWidth="1"/>
    <col min="3081" max="3327" width="12.5703125" style="110"/>
    <col min="3328" max="3328" width="40.7109375" style="110" customWidth="1"/>
    <col min="3329" max="3336" width="12.7109375" style="110" customWidth="1"/>
    <col min="3337" max="3583" width="12.5703125" style="110"/>
    <col min="3584" max="3584" width="40.7109375" style="110" customWidth="1"/>
    <col min="3585" max="3592" width="12.7109375" style="110" customWidth="1"/>
    <col min="3593" max="3839" width="12.5703125" style="110"/>
    <col min="3840" max="3840" width="40.7109375" style="110" customWidth="1"/>
    <col min="3841" max="3848" width="12.7109375" style="110" customWidth="1"/>
    <col min="3849" max="4095" width="12.5703125" style="110"/>
    <col min="4096" max="4096" width="40.7109375" style="110" customWidth="1"/>
    <col min="4097" max="4104" width="12.7109375" style="110" customWidth="1"/>
    <col min="4105" max="4351" width="12.5703125" style="110"/>
    <col min="4352" max="4352" width="40.7109375" style="110" customWidth="1"/>
    <col min="4353" max="4360" width="12.7109375" style="110" customWidth="1"/>
    <col min="4361" max="4607" width="12.5703125" style="110"/>
    <col min="4608" max="4608" width="40.7109375" style="110" customWidth="1"/>
    <col min="4609" max="4616" width="12.7109375" style="110" customWidth="1"/>
    <col min="4617" max="4863" width="12.5703125" style="110"/>
    <col min="4864" max="4864" width="40.7109375" style="110" customWidth="1"/>
    <col min="4865" max="4872" width="12.7109375" style="110" customWidth="1"/>
    <col min="4873" max="5119" width="12.5703125" style="110"/>
    <col min="5120" max="5120" width="40.7109375" style="110" customWidth="1"/>
    <col min="5121" max="5128" width="12.7109375" style="110" customWidth="1"/>
    <col min="5129" max="5375" width="12.5703125" style="110"/>
    <col min="5376" max="5376" width="40.7109375" style="110" customWidth="1"/>
    <col min="5377" max="5384" width="12.7109375" style="110" customWidth="1"/>
    <col min="5385" max="5631" width="12.5703125" style="110"/>
    <col min="5632" max="5632" width="40.7109375" style="110" customWidth="1"/>
    <col min="5633" max="5640" width="12.7109375" style="110" customWidth="1"/>
    <col min="5641" max="5887" width="12.5703125" style="110"/>
    <col min="5888" max="5888" width="40.7109375" style="110" customWidth="1"/>
    <col min="5889" max="5896" width="12.7109375" style="110" customWidth="1"/>
    <col min="5897" max="6143" width="12.5703125" style="110"/>
    <col min="6144" max="6144" width="40.7109375" style="110" customWidth="1"/>
    <col min="6145" max="6152" width="12.7109375" style="110" customWidth="1"/>
    <col min="6153" max="6399" width="12.5703125" style="110"/>
    <col min="6400" max="6400" width="40.7109375" style="110" customWidth="1"/>
    <col min="6401" max="6408" width="12.7109375" style="110" customWidth="1"/>
    <col min="6409" max="6655" width="12.5703125" style="110"/>
    <col min="6656" max="6656" width="40.7109375" style="110" customWidth="1"/>
    <col min="6657" max="6664" width="12.7109375" style="110" customWidth="1"/>
    <col min="6665" max="6911" width="12.5703125" style="110"/>
    <col min="6912" max="6912" width="40.7109375" style="110" customWidth="1"/>
    <col min="6913" max="6920" width="12.7109375" style="110" customWidth="1"/>
    <col min="6921" max="7167" width="12.5703125" style="110"/>
    <col min="7168" max="7168" width="40.7109375" style="110" customWidth="1"/>
    <col min="7169" max="7176" width="12.7109375" style="110" customWidth="1"/>
    <col min="7177" max="7423" width="12.5703125" style="110"/>
    <col min="7424" max="7424" width="40.7109375" style="110" customWidth="1"/>
    <col min="7425" max="7432" width="12.7109375" style="110" customWidth="1"/>
    <col min="7433" max="7679" width="12.5703125" style="110"/>
    <col min="7680" max="7680" width="40.7109375" style="110" customWidth="1"/>
    <col min="7681" max="7688" width="12.7109375" style="110" customWidth="1"/>
    <col min="7689" max="7935" width="12.5703125" style="110"/>
    <col min="7936" max="7936" width="40.7109375" style="110" customWidth="1"/>
    <col min="7937" max="7944" width="12.7109375" style="110" customWidth="1"/>
    <col min="7945" max="8191" width="12.5703125" style="110"/>
    <col min="8192" max="8192" width="40.7109375" style="110" customWidth="1"/>
    <col min="8193" max="8200" width="12.7109375" style="110" customWidth="1"/>
    <col min="8201" max="8447" width="12.5703125" style="110"/>
    <col min="8448" max="8448" width="40.7109375" style="110" customWidth="1"/>
    <col min="8449" max="8456" width="12.7109375" style="110" customWidth="1"/>
    <col min="8457" max="8703" width="12.5703125" style="110"/>
    <col min="8704" max="8704" width="40.7109375" style="110" customWidth="1"/>
    <col min="8705" max="8712" width="12.7109375" style="110" customWidth="1"/>
    <col min="8713" max="8959" width="12.5703125" style="110"/>
    <col min="8960" max="8960" width="40.7109375" style="110" customWidth="1"/>
    <col min="8961" max="8968" width="12.7109375" style="110" customWidth="1"/>
    <col min="8969" max="9215" width="12.5703125" style="110"/>
    <col min="9216" max="9216" width="40.7109375" style="110" customWidth="1"/>
    <col min="9217" max="9224" width="12.7109375" style="110" customWidth="1"/>
    <col min="9225" max="9471" width="12.5703125" style="110"/>
    <col min="9472" max="9472" width="40.7109375" style="110" customWidth="1"/>
    <col min="9473" max="9480" width="12.7109375" style="110" customWidth="1"/>
    <col min="9481" max="9727" width="12.5703125" style="110"/>
    <col min="9728" max="9728" width="40.7109375" style="110" customWidth="1"/>
    <col min="9729" max="9736" width="12.7109375" style="110" customWidth="1"/>
    <col min="9737" max="9983" width="12.5703125" style="110"/>
    <col min="9984" max="9984" width="40.7109375" style="110" customWidth="1"/>
    <col min="9985" max="9992" width="12.7109375" style="110" customWidth="1"/>
    <col min="9993" max="10239" width="12.5703125" style="110"/>
    <col min="10240" max="10240" width="40.7109375" style="110" customWidth="1"/>
    <col min="10241" max="10248" width="12.7109375" style="110" customWidth="1"/>
    <col min="10249" max="10495" width="12.5703125" style="110"/>
    <col min="10496" max="10496" width="40.7109375" style="110" customWidth="1"/>
    <col min="10497" max="10504" width="12.7109375" style="110" customWidth="1"/>
    <col min="10505" max="10751" width="12.5703125" style="110"/>
    <col min="10752" max="10752" width="40.7109375" style="110" customWidth="1"/>
    <col min="10753" max="10760" width="12.7109375" style="110" customWidth="1"/>
    <col min="10761" max="11007" width="12.5703125" style="110"/>
    <col min="11008" max="11008" width="40.7109375" style="110" customWidth="1"/>
    <col min="11009" max="11016" width="12.7109375" style="110" customWidth="1"/>
    <col min="11017" max="11263" width="12.5703125" style="110"/>
    <col min="11264" max="11264" width="40.7109375" style="110" customWidth="1"/>
    <col min="11265" max="11272" width="12.7109375" style="110" customWidth="1"/>
    <col min="11273" max="11519" width="12.5703125" style="110"/>
    <col min="11520" max="11520" width="40.7109375" style="110" customWidth="1"/>
    <col min="11521" max="11528" width="12.7109375" style="110" customWidth="1"/>
    <col min="11529" max="11775" width="12.5703125" style="110"/>
    <col min="11776" max="11776" width="40.7109375" style="110" customWidth="1"/>
    <col min="11777" max="11784" width="12.7109375" style="110" customWidth="1"/>
    <col min="11785" max="12031" width="12.5703125" style="110"/>
    <col min="12032" max="12032" width="40.7109375" style="110" customWidth="1"/>
    <col min="12033" max="12040" width="12.7109375" style="110" customWidth="1"/>
    <col min="12041" max="12287" width="12.5703125" style="110"/>
    <col min="12288" max="12288" width="40.7109375" style="110" customWidth="1"/>
    <col min="12289" max="12296" width="12.7109375" style="110" customWidth="1"/>
    <col min="12297" max="12543" width="12.5703125" style="110"/>
    <col min="12544" max="12544" width="40.7109375" style="110" customWidth="1"/>
    <col min="12545" max="12552" width="12.7109375" style="110" customWidth="1"/>
    <col min="12553" max="12799" width="12.5703125" style="110"/>
    <col min="12800" max="12800" width="40.7109375" style="110" customWidth="1"/>
    <col min="12801" max="12808" width="12.7109375" style="110" customWidth="1"/>
    <col min="12809" max="13055" width="12.5703125" style="110"/>
    <col min="13056" max="13056" width="40.7109375" style="110" customWidth="1"/>
    <col min="13057" max="13064" width="12.7109375" style="110" customWidth="1"/>
    <col min="13065" max="13311" width="12.5703125" style="110"/>
    <col min="13312" max="13312" width="40.7109375" style="110" customWidth="1"/>
    <col min="13313" max="13320" width="12.7109375" style="110" customWidth="1"/>
    <col min="13321" max="13567" width="12.5703125" style="110"/>
    <col min="13568" max="13568" width="40.7109375" style="110" customWidth="1"/>
    <col min="13569" max="13576" width="12.7109375" style="110" customWidth="1"/>
    <col min="13577" max="13823" width="12.5703125" style="110"/>
    <col min="13824" max="13824" width="40.7109375" style="110" customWidth="1"/>
    <col min="13825" max="13832" width="12.7109375" style="110" customWidth="1"/>
    <col min="13833" max="14079" width="12.5703125" style="110"/>
    <col min="14080" max="14080" width="40.7109375" style="110" customWidth="1"/>
    <col min="14081" max="14088" width="12.7109375" style="110" customWidth="1"/>
    <col min="14089" max="14335" width="12.5703125" style="110"/>
    <col min="14336" max="14336" width="40.7109375" style="110" customWidth="1"/>
    <col min="14337" max="14344" width="12.7109375" style="110" customWidth="1"/>
    <col min="14345" max="14591" width="12.5703125" style="110"/>
    <col min="14592" max="14592" width="40.7109375" style="110" customWidth="1"/>
    <col min="14593" max="14600" width="12.7109375" style="110" customWidth="1"/>
    <col min="14601" max="14847" width="12.5703125" style="110"/>
    <col min="14848" max="14848" width="40.7109375" style="110" customWidth="1"/>
    <col min="14849" max="14856" width="12.7109375" style="110" customWidth="1"/>
    <col min="14857" max="15103" width="12.5703125" style="110"/>
    <col min="15104" max="15104" width="40.7109375" style="110" customWidth="1"/>
    <col min="15105" max="15112" width="12.7109375" style="110" customWidth="1"/>
    <col min="15113" max="15359" width="12.5703125" style="110"/>
    <col min="15360" max="15360" width="40.7109375" style="110" customWidth="1"/>
    <col min="15361" max="15368" width="12.7109375" style="110" customWidth="1"/>
    <col min="15369" max="15615" width="12.5703125" style="110"/>
    <col min="15616" max="15616" width="40.7109375" style="110" customWidth="1"/>
    <col min="15617" max="15624" width="12.7109375" style="110" customWidth="1"/>
    <col min="15625" max="15871" width="12.5703125" style="110"/>
    <col min="15872" max="15872" width="40.7109375" style="110" customWidth="1"/>
    <col min="15873" max="15880" width="12.7109375" style="110" customWidth="1"/>
    <col min="15881" max="16127" width="12.5703125" style="110"/>
    <col min="16128" max="16128" width="40.7109375" style="110" customWidth="1"/>
    <col min="16129" max="16136" width="12.7109375" style="110" customWidth="1"/>
    <col min="16137" max="16384" width="12.5703125" style="110"/>
  </cols>
  <sheetData>
    <row r="1" spans="1:11" ht="18">
      <c r="A1" s="65" t="str">
        <f>HLOOKUP(INDICE!$F$2,Nombres!$C$3:$E$853,138)</f>
        <v>Efficiency (*)</v>
      </c>
      <c r="B1" s="108"/>
      <c r="C1" s="108"/>
      <c r="D1" s="108"/>
      <c r="E1" s="108"/>
      <c r="F1" s="108"/>
      <c r="G1" s="108"/>
      <c r="H1" s="108"/>
    </row>
    <row r="2" spans="1:11" ht="14.25">
      <c r="A2" s="150" t="str">
        <f>HLOOKUP(INDICE!$F$2,Nombres!$C$3:$E$853,327)</f>
        <v>(Percentage)</v>
      </c>
      <c r="B2" s="131"/>
      <c r="C2" s="131"/>
      <c r="D2" s="131"/>
      <c r="E2" s="131"/>
      <c r="F2" s="131"/>
      <c r="G2" s="131"/>
      <c r="H2" s="131"/>
    </row>
    <row r="3" spans="1:11" ht="15.75">
      <c r="A3" s="116"/>
      <c r="B3" s="138">
        <v>42825</v>
      </c>
      <c r="C3" s="138">
        <v>42916</v>
      </c>
      <c r="D3" s="138">
        <v>43008</v>
      </c>
      <c r="E3" s="138">
        <v>43100</v>
      </c>
      <c r="F3" s="138">
        <v>43190</v>
      </c>
      <c r="G3" s="138">
        <v>43281</v>
      </c>
      <c r="H3" s="138">
        <v>43373</v>
      </c>
    </row>
    <row r="4" spans="1:11" ht="14.25">
      <c r="A4" s="131"/>
      <c r="B4" s="94"/>
      <c r="C4" s="94"/>
      <c r="D4" s="94"/>
      <c r="E4" s="94"/>
      <c r="F4" s="94"/>
      <c r="G4" s="94"/>
      <c r="H4" s="131"/>
    </row>
    <row r="5" spans="1:11" customFormat="1" ht="15">
      <c r="A5" s="139" t="str">
        <f>HLOOKUP(INDICE!$F$2,Nombres!$C$3:$E$853,164)</f>
        <v>BBVA Group</v>
      </c>
      <c r="B5" s="193">
        <v>49.147943546695984</v>
      </c>
      <c r="C5" s="152">
        <v>49.625258076209455</v>
      </c>
      <c r="D5" s="152">
        <v>49.641467071505765</v>
      </c>
      <c r="E5" s="152">
        <v>49.466123698949936</v>
      </c>
      <c r="F5" s="193">
        <v>48.865962324416486</v>
      </c>
      <c r="G5" s="152">
        <v>49.216513646208945</v>
      </c>
      <c r="H5" s="152">
        <v>49.563608574281567</v>
      </c>
      <c r="I5" s="129"/>
      <c r="J5" s="129"/>
    </row>
    <row r="6" spans="1:11" ht="14.25">
      <c r="A6" s="131"/>
      <c r="B6" s="194"/>
      <c r="C6" s="156"/>
      <c r="D6" s="156"/>
      <c r="E6" s="156"/>
      <c r="F6" s="194"/>
      <c r="G6" s="156"/>
      <c r="H6" s="156"/>
      <c r="I6" s="133"/>
      <c r="J6" s="133"/>
      <c r="K6" s="133"/>
    </row>
    <row r="7" spans="1:11" customFormat="1" ht="15">
      <c r="A7" s="125" t="str">
        <f>HLOOKUP(INDICE!$F$2,Nombres!$C$3:$E$853,301)</f>
        <v>Banking activity in Spain</v>
      </c>
      <c r="B7" s="195">
        <v>51.22915114277076</v>
      </c>
      <c r="C7" s="159">
        <v>53.606497570736934</v>
      </c>
      <c r="D7" s="159">
        <v>53.995808257063352</v>
      </c>
      <c r="E7" s="159">
        <v>54.859077526192792</v>
      </c>
      <c r="F7" s="195">
        <v>51.541503548279088</v>
      </c>
      <c r="G7" s="159">
        <v>53.917554081018181</v>
      </c>
      <c r="H7" s="159">
        <v>54.356163581818429</v>
      </c>
      <c r="I7" s="129"/>
      <c r="J7" s="129"/>
    </row>
    <row r="8" spans="1:11" ht="14.25" customHeight="1">
      <c r="A8" s="131"/>
      <c r="B8" s="194"/>
      <c r="C8" s="156"/>
      <c r="D8" s="156"/>
      <c r="E8" s="156"/>
      <c r="F8" s="194"/>
      <c r="G8" s="156"/>
      <c r="H8" s="156"/>
      <c r="I8" s="196"/>
      <c r="J8" s="133"/>
      <c r="K8" s="133"/>
    </row>
    <row r="9" spans="1:11" customFormat="1" ht="15">
      <c r="A9" s="125" t="str">
        <f>HLOOKUP(INDICE!$F$2,Nombres!$C$3:$E$853,20)</f>
        <v>The United States</v>
      </c>
      <c r="B9" s="195">
        <v>64.845665325692579</v>
      </c>
      <c r="C9" s="159">
        <v>65.101317482917153</v>
      </c>
      <c r="D9" s="159">
        <v>64.655837712029467</v>
      </c>
      <c r="E9" s="159">
        <v>64.369068201733796</v>
      </c>
      <c r="F9" s="195">
        <v>62.229987838222065</v>
      </c>
      <c r="G9" s="159">
        <v>62.021436931771134</v>
      </c>
      <c r="H9" s="159">
        <v>62.896440029546028</v>
      </c>
      <c r="I9" s="129"/>
      <c r="J9" s="129"/>
    </row>
    <row r="10" spans="1:11" ht="14.25" customHeight="1">
      <c r="A10" s="131"/>
      <c r="B10" s="194"/>
      <c r="C10" s="156"/>
      <c r="D10" s="156"/>
      <c r="E10" s="156"/>
      <c r="F10" s="194"/>
      <c r="G10" s="156"/>
      <c r="H10" s="156"/>
      <c r="I10" s="196"/>
      <c r="J10" s="133"/>
      <c r="K10" s="133"/>
    </row>
    <row r="11" spans="1:11" ht="14.25" customHeight="1">
      <c r="A11" s="125" t="str">
        <f>HLOOKUP(INDICE!$F$2,Nombres!$C$3:$E$853,9)</f>
        <v>Mexico</v>
      </c>
      <c r="B11" s="195">
        <v>33.504110196495304</v>
      </c>
      <c r="C11" s="159">
        <v>34.049768765265313</v>
      </c>
      <c r="D11" s="159">
        <v>34.315663443187965</v>
      </c>
      <c r="E11" s="159">
        <v>34.422927710596923</v>
      </c>
      <c r="F11" s="195">
        <v>33.127478220508621</v>
      </c>
      <c r="G11" s="159">
        <v>33.011480036048447</v>
      </c>
      <c r="H11" s="156">
        <v>32.941989244618966</v>
      </c>
      <c r="I11" s="196"/>
      <c r="J11" s="133"/>
      <c r="K11" s="133"/>
    </row>
    <row r="12" spans="1:11" ht="14.25" customHeight="1">
      <c r="A12" s="131"/>
      <c r="B12" s="194"/>
      <c r="C12" s="156"/>
      <c r="D12" s="156"/>
      <c r="E12" s="156"/>
      <c r="F12" s="194"/>
      <c r="G12" s="156"/>
      <c r="H12" s="156"/>
      <c r="I12" s="196"/>
      <c r="J12" s="133"/>
      <c r="K12" s="133"/>
    </row>
    <row r="13" spans="1:11" customFormat="1" ht="15">
      <c r="A13" s="125" t="str">
        <f>HLOOKUP(INDICE!$F$2,Nombres!$C$3:$E$853,295)</f>
        <v xml:space="preserve">Turkey </v>
      </c>
      <c r="B13" s="195">
        <v>39.794225390911826</v>
      </c>
      <c r="C13" s="159">
        <v>38.41787449502128</v>
      </c>
      <c r="D13" s="159">
        <v>37.732242191796125</v>
      </c>
      <c r="E13" s="159">
        <v>36.52979834286235</v>
      </c>
      <c r="F13" s="195">
        <v>35.567112719565003</v>
      </c>
      <c r="G13" s="159">
        <v>35.188189082409245</v>
      </c>
      <c r="H13" s="159">
        <v>32.622927555517307</v>
      </c>
      <c r="I13" s="129"/>
      <c r="J13" s="129"/>
    </row>
    <row r="14" spans="1:11" ht="14.25" customHeight="1">
      <c r="A14" s="131"/>
      <c r="B14" s="194"/>
      <c r="C14" s="156"/>
      <c r="D14" s="156"/>
      <c r="E14" s="156"/>
      <c r="F14" s="194"/>
      <c r="G14" s="156"/>
      <c r="H14" s="156"/>
      <c r="I14" s="133"/>
      <c r="J14" s="133"/>
      <c r="K14" s="133"/>
    </row>
    <row r="15" spans="1:11" customFormat="1" ht="15">
      <c r="A15" s="125" t="str">
        <f>HLOOKUP(INDICE!$F$2,Nombres!$C$3:$E$853,12)</f>
        <v>South America</v>
      </c>
      <c r="B15" s="195">
        <v>48.098097819318646</v>
      </c>
      <c r="C15" s="159">
        <v>46.211097754899647</v>
      </c>
      <c r="D15" s="159">
        <v>45.297039300606315</v>
      </c>
      <c r="E15" s="159">
        <v>45.1045868425092</v>
      </c>
      <c r="F15" s="195">
        <v>44.840365285114039</v>
      </c>
      <c r="G15" s="159">
        <v>43.021118095665194</v>
      </c>
      <c r="H15" s="159">
        <v>44.994575860030331</v>
      </c>
      <c r="I15" s="129"/>
      <c r="J15" s="129"/>
    </row>
    <row r="16" spans="1:11" ht="14.25">
      <c r="A16" s="131"/>
      <c r="B16" s="194"/>
      <c r="C16" s="156"/>
      <c r="D16" s="156"/>
      <c r="E16" s="156"/>
      <c r="F16" s="194"/>
      <c r="G16" s="156"/>
      <c r="H16" s="169"/>
      <c r="I16" s="133"/>
      <c r="J16" s="133"/>
      <c r="K16" s="133"/>
    </row>
    <row r="17" spans="1:11" ht="14.25">
      <c r="A17" s="125" t="str">
        <f>HLOOKUP(INDICE!$F$2,Nombres!$C$3:$E$853,184)</f>
        <v>Rest of Eurasia</v>
      </c>
      <c r="B17" s="195">
        <v>58.801351108636467</v>
      </c>
      <c r="C17" s="159">
        <v>60.152253416910618</v>
      </c>
      <c r="D17" s="159">
        <v>61.956633580552264</v>
      </c>
      <c r="E17" s="159">
        <v>65.884959993272844</v>
      </c>
      <c r="F17" s="195">
        <v>57.719118238630386</v>
      </c>
      <c r="G17" s="159">
        <v>65.754836931541391</v>
      </c>
      <c r="H17" s="159">
        <v>68.574971158038096</v>
      </c>
    </row>
    <row r="18" spans="1:11" ht="14.25">
      <c r="A18" s="131"/>
      <c r="B18" s="169"/>
      <c r="C18" s="169"/>
      <c r="D18" s="169"/>
      <c r="E18" s="169"/>
      <c r="F18" s="169"/>
      <c r="G18" s="169"/>
      <c r="H18" s="131"/>
      <c r="I18" s="133"/>
      <c r="J18" s="133"/>
      <c r="K18" s="133"/>
    </row>
    <row r="19" spans="1:11" ht="14.25">
      <c r="A19" s="134" t="str">
        <f>HLOOKUP(INDICE!$F$2,Nombres!$C$3:$E$853,137)</f>
        <v>(*) Operating expenses / Gross income. Including depreciation</v>
      </c>
      <c r="B19" s="131"/>
      <c r="C19" s="131"/>
      <c r="D19" s="131"/>
      <c r="E19" s="131"/>
      <c r="F19" s="131"/>
      <c r="G19" s="131"/>
      <c r="H19" s="131"/>
      <c r="I19" s="133"/>
      <c r="J19" s="133"/>
      <c r="K19" s="133"/>
    </row>
    <row r="20" spans="1:11">
      <c r="A20" s="109"/>
      <c r="B20" s="109"/>
      <c r="C20" s="109"/>
      <c r="D20" s="109"/>
      <c r="E20" s="109"/>
      <c r="F20" s="109"/>
      <c r="G20" s="109"/>
      <c r="H20" s="109"/>
      <c r="I20" s="133"/>
      <c r="J20" s="133"/>
      <c r="K20" s="133"/>
    </row>
    <row r="21" spans="1:11">
      <c r="A21" s="109"/>
      <c r="B21" s="109"/>
      <c r="C21" s="109"/>
      <c r="D21" s="109"/>
      <c r="E21" s="109"/>
      <c r="F21" s="109"/>
      <c r="G21" s="109"/>
      <c r="H21" s="109"/>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zoomScale="85" zoomScaleNormal="85" workbookViewId="0"/>
  </sheetViews>
  <sheetFormatPr baseColWidth="10" defaultColWidth="12.5703125" defaultRowHeight="12.75"/>
  <cols>
    <col min="1" max="1" width="45.7109375" style="192" customWidth="1"/>
    <col min="2" max="6" width="12.7109375" style="110" customWidth="1" collapsed="1"/>
    <col min="7" max="7" width="12.7109375" style="110" customWidth="1"/>
    <col min="8" max="8" width="12.7109375" style="149" customWidth="1"/>
    <col min="9" max="10" width="9.5703125" style="149" customWidth="1"/>
    <col min="11" max="255" width="12.5703125" style="149"/>
    <col min="256" max="256" width="45.7109375" style="149" customWidth="1"/>
    <col min="257" max="264" width="12.7109375" style="149" customWidth="1"/>
    <col min="265" max="266" width="9.5703125" style="149" customWidth="1"/>
    <col min="267" max="511" width="12.5703125" style="149"/>
    <col min="512" max="512" width="45.7109375" style="149" customWidth="1"/>
    <col min="513" max="520" width="12.7109375" style="149" customWidth="1"/>
    <col min="521" max="522" width="9.5703125" style="149" customWidth="1"/>
    <col min="523" max="767" width="12.5703125" style="149"/>
    <col min="768" max="768" width="45.7109375" style="149" customWidth="1"/>
    <col min="769" max="776" width="12.7109375" style="149" customWidth="1"/>
    <col min="777" max="778" width="9.5703125" style="149" customWidth="1"/>
    <col min="779" max="1023" width="12.5703125" style="149"/>
    <col min="1024" max="1024" width="45.7109375" style="149" customWidth="1"/>
    <col min="1025" max="1032" width="12.7109375" style="149" customWidth="1"/>
    <col min="1033" max="1034" width="9.5703125" style="149" customWidth="1"/>
    <col min="1035" max="1279" width="12.5703125" style="149"/>
    <col min="1280" max="1280" width="45.7109375" style="149" customWidth="1"/>
    <col min="1281" max="1288" width="12.7109375" style="149" customWidth="1"/>
    <col min="1289" max="1290" width="9.5703125" style="149" customWidth="1"/>
    <col min="1291" max="1535" width="12.5703125" style="149"/>
    <col min="1536" max="1536" width="45.7109375" style="149" customWidth="1"/>
    <col min="1537" max="1544" width="12.7109375" style="149" customWidth="1"/>
    <col min="1545" max="1546" width="9.5703125" style="149" customWidth="1"/>
    <col min="1547" max="1791" width="12.5703125" style="149"/>
    <col min="1792" max="1792" width="45.7109375" style="149" customWidth="1"/>
    <col min="1793" max="1800" width="12.7109375" style="149" customWidth="1"/>
    <col min="1801" max="1802" width="9.5703125" style="149" customWidth="1"/>
    <col min="1803" max="2047" width="12.5703125" style="149"/>
    <col min="2048" max="2048" width="45.7109375" style="149" customWidth="1"/>
    <col min="2049" max="2056" width="12.7109375" style="149" customWidth="1"/>
    <col min="2057" max="2058" width="9.5703125" style="149" customWidth="1"/>
    <col min="2059" max="2303" width="12.5703125" style="149"/>
    <col min="2304" max="2304" width="45.7109375" style="149" customWidth="1"/>
    <col min="2305" max="2312" width="12.7109375" style="149" customWidth="1"/>
    <col min="2313" max="2314" width="9.5703125" style="149" customWidth="1"/>
    <col min="2315" max="2559" width="12.5703125" style="149"/>
    <col min="2560" max="2560" width="45.7109375" style="149" customWidth="1"/>
    <col min="2561" max="2568" width="12.7109375" style="149" customWidth="1"/>
    <col min="2569" max="2570" width="9.5703125" style="149" customWidth="1"/>
    <col min="2571" max="2815" width="12.5703125" style="149"/>
    <col min="2816" max="2816" width="45.7109375" style="149" customWidth="1"/>
    <col min="2817" max="2824" width="12.7109375" style="149" customWidth="1"/>
    <col min="2825" max="2826" width="9.5703125" style="149" customWidth="1"/>
    <col min="2827" max="3071" width="12.5703125" style="149"/>
    <col min="3072" max="3072" width="45.7109375" style="149" customWidth="1"/>
    <col min="3073" max="3080" width="12.7109375" style="149" customWidth="1"/>
    <col min="3081" max="3082" width="9.5703125" style="149" customWidth="1"/>
    <col min="3083" max="3327" width="12.5703125" style="149"/>
    <col min="3328" max="3328" width="45.7109375" style="149" customWidth="1"/>
    <col min="3329" max="3336" width="12.7109375" style="149" customWidth="1"/>
    <col min="3337" max="3338" width="9.5703125" style="149" customWidth="1"/>
    <col min="3339" max="3583" width="12.5703125" style="149"/>
    <col min="3584" max="3584" width="45.7109375" style="149" customWidth="1"/>
    <col min="3585" max="3592" width="12.7109375" style="149" customWidth="1"/>
    <col min="3593" max="3594" width="9.5703125" style="149" customWidth="1"/>
    <col min="3595" max="3839" width="12.5703125" style="149"/>
    <col min="3840" max="3840" width="45.7109375" style="149" customWidth="1"/>
    <col min="3841" max="3848" width="12.7109375" style="149" customWidth="1"/>
    <col min="3849" max="3850" width="9.5703125" style="149" customWidth="1"/>
    <col min="3851" max="4095" width="12.5703125" style="149"/>
    <col min="4096" max="4096" width="45.7109375" style="149" customWidth="1"/>
    <col min="4097" max="4104" width="12.7109375" style="149" customWidth="1"/>
    <col min="4105" max="4106" width="9.5703125" style="149" customWidth="1"/>
    <col min="4107" max="4351" width="12.5703125" style="149"/>
    <col min="4352" max="4352" width="45.7109375" style="149" customWidth="1"/>
    <col min="4353" max="4360" width="12.7109375" style="149" customWidth="1"/>
    <col min="4361" max="4362" width="9.5703125" style="149" customWidth="1"/>
    <col min="4363" max="4607" width="12.5703125" style="149"/>
    <col min="4608" max="4608" width="45.7109375" style="149" customWidth="1"/>
    <col min="4609" max="4616" width="12.7109375" style="149" customWidth="1"/>
    <col min="4617" max="4618" width="9.5703125" style="149" customWidth="1"/>
    <col min="4619" max="4863" width="12.5703125" style="149"/>
    <col min="4864" max="4864" width="45.7109375" style="149" customWidth="1"/>
    <col min="4865" max="4872" width="12.7109375" style="149" customWidth="1"/>
    <col min="4873" max="4874" width="9.5703125" style="149" customWidth="1"/>
    <col min="4875" max="5119" width="12.5703125" style="149"/>
    <col min="5120" max="5120" width="45.7109375" style="149" customWidth="1"/>
    <col min="5121" max="5128" width="12.7109375" style="149" customWidth="1"/>
    <col min="5129" max="5130" width="9.5703125" style="149" customWidth="1"/>
    <col min="5131" max="5375" width="12.5703125" style="149"/>
    <col min="5376" max="5376" width="45.7109375" style="149" customWidth="1"/>
    <col min="5377" max="5384" width="12.7109375" style="149" customWidth="1"/>
    <col min="5385" max="5386" width="9.5703125" style="149" customWidth="1"/>
    <col min="5387" max="5631" width="12.5703125" style="149"/>
    <col min="5632" max="5632" width="45.7109375" style="149" customWidth="1"/>
    <col min="5633" max="5640" width="12.7109375" style="149" customWidth="1"/>
    <col min="5641" max="5642" width="9.5703125" style="149" customWidth="1"/>
    <col min="5643" max="5887" width="12.5703125" style="149"/>
    <col min="5888" max="5888" width="45.7109375" style="149" customWidth="1"/>
    <col min="5889" max="5896" width="12.7109375" style="149" customWidth="1"/>
    <col min="5897" max="5898" width="9.5703125" style="149" customWidth="1"/>
    <col min="5899" max="6143" width="12.5703125" style="149"/>
    <col min="6144" max="6144" width="45.7109375" style="149" customWidth="1"/>
    <col min="6145" max="6152" width="12.7109375" style="149" customWidth="1"/>
    <col min="6153" max="6154" width="9.5703125" style="149" customWidth="1"/>
    <col min="6155" max="6399" width="12.5703125" style="149"/>
    <col min="6400" max="6400" width="45.7109375" style="149" customWidth="1"/>
    <col min="6401" max="6408" width="12.7109375" style="149" customWidth="1"/>
    <col min="6409" max="6410" width="9.5703125" style="149" customWidth="1"/>
    <col min="6411" max="6655" width="12.5703125" style="149"/>
    <col min="6656" max="6656" width="45.7109375" style="149" customWidth="1"/>
    <col min="6657" max="6664" width="12.7109375" style="149" customWidth="1"/>
    <col min="6665" max="6666" width="9.5703125" style="149" customWidth="1"/>
    <col min="6667" max="6911" width="12.5703125" style="149"/>
    <col min="6912" max="6912" width="45.7109375" style="149" customWidth="1"/>
    <col min="6913" max="6920" width="12.7109375" style="149" customWidth="1"/>
    <col min="6921" max="6922" width="9.5703125" style="149" customWidth="1"/>
    <col min="6923" max="7167" width="12.5703125" style="149"/>
    <col min="7168" max="7168" width="45.7109375" style="149" customWidth="1"/>
    <col min="7169" max="7176" width="12.7109375" style="149" customWidth="1"/>
    <col min="7177" max="7178" width="9.5703125" style="149" customWidth="1"/>
    <col min="7179" max="7423" width="12.5703125" style="149"/>
    <col min="7424" max="7424" width="45.7109375" style="149" customWidth="1"/>
    <col min="7425" max="7432" width="12.7109375" style="149" customWidth="1"/>
    <col min="7433" max="7434" width="9.5703125" style="149" customWidth="1"/>
    <col min="7435" max="7679" width="12.5703125" style="149"/>
    <col min="7680" max="7680" width="45.7109375" style="149" customWidth="1"/>
    <col min="7681" max="7688" width="12.7109375" style="149" customWidth="1"/>
    <col min="7689" max="7690" width="9.5703125" style="149" customWidth="1"/>
    <col min="7691" max="7935" width="12.5703125" style="149"/>
    <col min="7936" max="7936" width="45.7109375" style="149" customWidth="1"/>
    <col min="7937" max="7944" width="12.7109375" style="149" customWidth="1"/>
    <col min="7945" max="7946" width="9.5703125" style="149" customWidth="1"/>
    <col min="7947" max="8191" width="12.5703125" style="149"/>
    <col min="8192" max="8192" width="45.7109375" style="149" customWidth="1"/>
    <col min="8193" max="8200" width="12.7109375" style="149" customWidth="1"/>
    <col min="8201" max="8202" width="9.5703125" style="149" customWidth="1"/>
    <col min="8203" max="8447" width="12.5703125" style="149"/>
    <col min="8448" max="8448" width="45.7109375" style="149" customWidth="1"/>
    <col min="8449" max="8456" width="12.7109375" style="149" customWidth="1"/>
    <col min="8457" max="8458" width="9.5703125" style="149" customWidth="1"/>
    <col min="8459" max="8703" width="12.5703125" style="149"/>
    <col min="8704" max="8704" width="45.7109375" style="149" customWidth="1"/>
    <col min="8705" max="8712" width="12.7109375" style="149" customWidth="1"/>
    <col min="8713" max="8714" width="9.5703125" style="149" customWidth="1"/>
    <col min="8715" max="8959" width="12.5703125" style="149"/>
    <col min="8960" max="8960" width="45.7109375" style="149" customWidth="1"/>
    <col min="8961" max="8968" width="12.7109375" style="149" customWidth="1"/>
    <col min="8969" max="8970" width="9.5703125" style="149" customWidth="1"/>
    <col min="8971" max="9215" width="12.5703125" style="149"/>
    <col min="9216" max="9216" width="45.7109375" style="149" customWidth="1"/>
    <col min="9217" max="9224" width="12.7109375" style="149" customWidth="1"/>
    <col min="9225" max="9226" width="9.5703125" style="149" customWidth="1"/>
    <col min="9227" max="9471" width="12.5703125" style="149"/>
    <col min="9472" max="9472" width="45.7109375" style="149" customWidth="1"/>
    <col min="9473" max="9480" width="12.7109375" style="149" customWidth="1"/>
    <col min="9481" max="9482" width="9.5703125" style="149" customWidth="1"/>
    <col min="9483" max="9727" width="12.5703125" style="149"/>
    <col min="9728" max="9728" width="45.7109375" style="149" customWidth="1"/>
    <col min="9729" max="9736" width="12.7109375" style="149" customWidth="1"/>
    <col min="9737" max="9738" width="9.5703125" style="149" customWidth="1"/>
    <col min="9739" max="9983" width="12.5703125" style="149"/>
    <col min="9984" max="9984" width="45.7109375" style="149" customWidth="1"/>
    <col min="9985" max="9992" width="12.7109375" style="149" customWidth="1"/>
    <col min="9993" max="9994" width="9.5703125" style="149" customWidth="1"/>
    <col min="9995" max="10239" width="12.5703125" style="149"/>
    <col min="10240" max="10240" width="45.7109375" style="149" customWidth="1"/>
    <col min="10241" max="10248" width="12.7109375" style="149" customWidth="1"/>
    <col min="10249" max="10250" width="9.5703125" style="149" customWidth="1"/>
    <col min="10251" max="10495" width="12.5703125" style="149"/>
    <col min="10496" max="10496" width="45.7109375" style="149" customWidth="1"/>
    <col min="10497" max="10504" width="12.7109375" style="149" customWidth="1"/>
    <col min="10505" max="10506" width="9.5703125" style="149" customWidth="1"/>
    <col min="10507" max="10751" width="12.5703125" style="149"/>
    <col min="10752" max="10752" width="45.7109375" style="149" customWidth="1"/>
    <col min="10753" max="10760" width="12.7109375" style="149" customWidth="1"/>
    <col min="10761" max="10762" width="9.5703125" style="149" customWidth="1"/>
    <col min="10763" max="11007" width="12.5703125" style="149"/>
    <col min="11008" max="11008" width="45.7109375" style="149" customWidth="1"/>
    <col min="11009" max="11016" width="12.7109375" style="149" customWidth="1"/>
    <col min="11017" max="11018" width="9.5703125" style="149" customWidth="1"/>
    <col min="11019" max="11263" width="12.5703125" style="149"/>
    <col min="11264" max="11264" width="45.7109375" style="149" customWidth="1"/>
    <col min="11265" max="11272" width="12.7109375" style="149" customWidth="1"/>
    <col min="11273" max="11274" width="9.5703125" style="149" customWidth="1"/>
    <col min="11275" max="11519" width="12.5703125" style="149"/>
    <col min="11520" max="11520" width="45.7109375" style="149" customWidth="1"/>
    <col min="11521" max="11528" width="12.7109375" style="149" customWidth="1"/>
    <col min="11529" max="11530" width="9.5703125" style="149" customWidth="1"/>
    <col min="11531" max="11775" width="12.5703125" style="149"/>
    <col min="11776" max="11776" width="45.7109375" style="149" customWidth="1"/>
    <col min="11777" max="11784" width="12.7109375" style="149" customWidth="1"/>
    <col min="11785" max="11786" width="9.5703125" style="149" customWidth="1"/>
    <col min="11787" max="12031" width="12.5703125" style="149"/>
    <col min="12032" max="12032" width="45.7109375" style="149" customWidth="1"/>
    <col min="12033" max="12040" width="12.7109375" style="149" customWidth="1"/>
    <col min="12041" max="12042" width="9.5703125" style="149" customWidth="1"/>
    <col min="12043" max="12287" width="12.5703125" style="149"/>
    <col min="12288" max="12288" width="45.7109375" style="149" customWidth="1"/>
    <col min="12289" max="12296" width="12.7109375" style="149" customWidth="1"/>
    <col min="12297" max="12298" width="9.5703125" style="149" customWidth="1"/>
    <col min="12299" max="12543" width="12.5703125" style="149"/>
    <col min="12544" max="12544" width="45.7109375" style="149" customWidth="1"/>
    <col min="12545" max="12552" width="12.7109375" style="149" customWidth="1"/>
    <col min="12553" max="12554" width="9.5703125" style="149" customWidth="1"/>
    <col min="12555" max="12799" width="12.5703125" style="149"/>
    <col min="12800" max="12800" width="45.7109375" style="149" customWidth="1"/>
    <col min="12801" max="12808" width="12.7109375" style="149" customWidth="1"/>
    <col min="12809" max="12810" width="9.5703125" style="149" customWidth="1"/>
    <col min="12811" max="13055" width="12.5703125" style="149"/>
    <col min="13056" max="13056" width="45.7109375" style="149" customWidth="1"/>
    <col min="13057" max="13064" width="12.7109375" style="149" customWidth="1"/>
    <col min="13065" max="13066" width="9.5703125" style="149" customWidth="1"/>
    <col min="13067" max="13311" width="12.5703125" style="149"/>
    <col min="13312" max="13312" width="45.7109375" style="149" customWidth="1"/>
    <col min="13313" max="13320" width="12.7109375" style="149" customWidth="1"/>
    <col min="13321" max="13322" width="9.5703125" style="149" customWidth="1"/>
    <col min="13323" max="13567" width="12.5703125" style="149"/>
    <col min="13568" max="13568" width="45.7109375" style="149" customWidth="1"/>
    <col min="13569" max="13576" width="12.7109375" style="149" customWidth="1"/>
    <col min="13577" max="13578" width="9.5703125" style="149" customWidth="1"/>
    <col min="13579" max="13823" width="12.5703125" style="149"/>
    <col min="13824" max="13824" width="45.7109375" style="149" customWidth="1"/>
    <col min="13825" max="13832" width="12.7109375" style="149" customWidth="1"/>
    <col min="13833" max="13834" width="9.5703125" style="149" customWidth="1"/>
    <col min="13835" max="14079" width="12.5703125" style="149"/>
    <col min="14080" max="14080" width="45.7109375" style="149" customWidth="1"/>
    <col min="14081" max="14088" width="12.7109375" style="149" customWidth="1"/>
    <col min="14089" max="14090" width="9.5703125" style="149" customWidth="1"/>
    <col min="14091" max="14335" width="12.5703125" style="149"/>
    <col min="14336" max="14336" width="45.7109375" style="149" customWidth="1"/>
    <col min="14337" max="14344" width="12.7109375" style="149" customWidth="1"/>
    <col min="14345" max="14346" width="9.5703125" style="149" customWidth="1"/>
    <col min="14347" max="14591" width="12.5703125" style="149"/>
    <col min="14592" max="14592" width="45.7109375" style="149" customWidth="1"/>
    <col min="14593" max="14600" width="12.7109375" style="149" customWidth="1"/>
    <col min="14601" max="14602" width="9.5703125" style="149" customWidth="1"/>
    <col min="14603" max="14847" width="12.5703125" style="149"/>
    <col min="14848" max="14848" width="45.7109375" style="149" customWidth="1"/>
    <col min="14849" max="14856" width="12.7109375" style="149" customWidth="1"/>
    <col min="14857" max="14858" width="9.5703125" style="149" customWidth="1"/>
    <col min="14859" max="15103" width="12.5703125" style="149"/>
    <col min="15104" max="15104" width="45.7109375" style="149" customWidth="1"/>
    <col min="15105" max="15112" width="12.7109375" style="149" customWidth="1"/>
    <col min="15113" max="15114" width="9.5703125" style="149" customWidth="1"/>
    <col min="15115" max="15359" width="12.5703125" style="149"/>
    <col min="15360" max="15360" width="45.7109375" style="149" customWidth="1"/>
    <col min="15361" max="15368" width="12.7109375" style="149" customWidth="1"/>
    <col min="15369" max="15370" width="9.5703125" style="149" customWidth="1"/>
    <col min="15371" max="15615" width="12.5703125" style="149"/>
    <col min="15616" max="15616" width="45.7109375" style="149" customWidth="1"/>
    <col min="15617" max="15624" width="12.7109375" style="149" customWidth="1"/>
    <col min="15625" max="15626" width="9.5703125" style="149" customWidth="1"/>
    <col min="15627" max="15871" width="12.5703125" style="149"/>
    <col min="15872" max="15872" width="45.7109375" style="149" customWidth="1"/>
    <col min="15873" max="15880" width="12.7109375" style="149" customWidth="1"/>
    <col min="15881" max="15882" width="9.5703125" style="149" customWidth="1"/>
    <col min="15883" max="16127" width="12.5703125" style="149"/>
    <col min="16128" max="16128" width="45.7109375" style="149" customWidth="1"/>
    <col min="16129" max="16136" width="12.7109375" style="149" customWidth="1"/>
    <col min="16137" max="16138" width="9.5703125" style="149" customWidth="1"/>
    <col min="16139" max="16384" width="12.5703125" style="149"/>
  </cols>
  <sheetData>
    <row r="1" spans="1:10" ht="19.5">
      <c r="A1" s="65" t="str">
        <f>HLOOKUP(INDICE!$F$2,Nombres!$C$3:$E$853,139)</f>
        <v>NPL ratio</v>
      </c>
      <c r="B1" s="148"/>
      <c r="C1" s="148"/>
      <c r="D1" s="148"/>
      <c r="E1" s="148"/>
      <c r="F1" s="148"/>
      <c r="G1" s="108"/>
      <c r="H1" s="108"/>
    </row>
    <row r="2" spans="1:10" ht="14.25" customHeight="1">
      <c r="A2" s="150" t="str">
        <f>HLOOKUP(INDICE!$F$2,Nombres!$C$3:$E$853,327)</f>
        <v>(Percentage)</v>
      </c>
      <c r="B2" s="131"/>
      <c r="C2" s="131"/>
      <c r="D2" s="131"/>
      <c r="E2" s="131"/>
      <c r="F2" s="131"/>
      <c r="G2" s="131"/>
      <c r="H2" s="131"/>
    </row>
    <row r="3" spans="1:10" ht="15.75">
      <c r="A3" s="131"/>
      <c r="B3" s="59">
        <v>42825</v>
      </c>
      <c r="C3" s="59">
        <v>42916</v>
      </c>
      <c r="D3" s="59">
        <v>43008</v>
      </c>
      <c r="E3" s="59">
        <v>43100</v>
      </c>
      <c r="F3" s="59">
        <v>43190</v>
      </c>
      <c r="G3" s="59">
        <v>43281</v>
      </c>
      <c r="H3" s="59">
        <v>43373</v>
      </c>
    </row>
    <row r="4" spans="1:10" ht="6.75" customHeight="1">
      <c r="A4" s="131"/>
      <c r="B4" s="94"/>
      <c r="C4" s="94"/>
      <c r="D4" s="131"/>
      <c r="E4" s="131"/>
      <c r="F4" s="94"/>
      <c r="G4" s="94"/>
      <c r="H4" s="131"/>
    </row>
    <row r="5" spans="1:10" customFormat="1" ht="15">
      <c r="A5" s="139" t="str">
        <f>HLOOKUP(INDICE!$F$2,Nombres!$C$3:$E$853,164)</f>
        <v>BBVA Group</v>
      </c>
      <c r="B5" s="151">
        <v>4.9069552129836529</v>
      </c>
      <c r="C5" s="152">
        <v>4.8233527522479465</v>
      </c>
      <c r="D5" s="152">
        <v>4.5914188394052164</v>
      </c>
      <c r="E5" s="152">
        <v>4.5533288191066958</v>
      </c>
      <c r="F5" s="151">
        <v>4.4108380392761033</v>
      </c>
      <c r="G5" s="152">
        <v>4.3521792545992239</v>
      </c>
      <c r="H5" s="152">
        <v>4.1309216348141442</v>
      </c>
      <c r="I5" s="153"/>
      <c r="J5" s="154"/>
    </row>
    <row r="6" spans="1:10" s="157" customFormat="1" ht="6.75" customHeight="1">
      <c r="A6" s="131"/>
      <c r="B6" s="155"/>
      <c r="C6" s="156"/>
      <c r="D6" s="156"/>
      <c r="E6" s="156"/>
      <c r="F6" s="155"/>
      <c r="G6" s="156"/>
      <c r="H6" s="156"/>
      <c r="I6" s="153"/>
      <c r="J6" s="154"/>
    </row>
    <row r="7" spans="1:10" customFormat="1" ht="15">
      <c r="A7" s="125" t="str">
        <f>HLOOKUP(INDICE!$F$2,Nombres!$C$3:$E$853,301)</f>
        <v>Banking activity in Spain</v>
      </c>
      <c r="B7" s="158">
        <v>5.9962894214551579</v>
      </c>
      <c r="C7" s="159">
        <v>5.8901149684069809</v>
      </c>
      <c r="D7" s="159">
        <v>5.7852642613544969</v>
      </c>
      <c r="E7" s="159">
        <v>5.5185045623041118</v>
      </c>
      <c r="F7" s="158">
        <v>5.3647405569925928</v>
      </c>
      <c r="G7" s="159">
        <v>5.1942924121327341</v>
      </c>
      <c r="H7" s="159">
        <v>4.9743423033348879</v>
      </c>
      <c r="I7" s="153"/>
      <c r="J7" s="154"/>
    </row>
    <row r="8" spans="1:10" ht="6" customHeight="1">
      <c r="A8" s="131"/>
      <c r="B8" s="160"/>
      <c r="C8" s="156"/>
      <c r="D8" s="156"/>
      <c r="E8" s="156"/>
      <c r="F8" s="160"/>
      <c r="G8" s="156"/>
      <c r="H8" s="156"/>
      <c r="I8" s="153"/>
      <c r="J8" s="161"/>
    </row>
    <row r="9" spans="1:10" customFormat="1" ht="15">
      <c r="A9" s="125" t="str">
        <f>HLOOKUP(INDICE!$F$2,Nombres!$C$3:$E$853,20)</f>
        <v>The United States</v>
      </c>
      <c r="B9" s="158">
        <v>1.3440928586470799</v>
      </c>
      <c r="C9" s="159">
        <v>1.3280076868143167</v>
      </c>
      <c r="D9" s="159">
        <v>1.1990778524725167</v>
      </c>
      <c r="E9" s="159">
        <v>1.2173317975987634</v>
      </c>
      <c r="F9" s="158">
        <v>1.1688488249245592</v>
      </c>
      <c r="G9" s="159">
        <v>1.1953176843823248</v>
      </c>
      <c r="H9" s="159">
        <v>1.1003067142506433</v>
      </c>
      <c r="I9" s="153"/>
    </row>
    <row r="10" spans="1:10" ht="6" customHeight="1">
      <c r="A10" s="131"/>
      <c r="B10" s="160"/>
      <c r="C10" s="156"/>
      <c r="D10" s="156"/>
      <c r="E10" s="156"/>
      <c r="F10" s="160"/>
      <c r="G10" s="156"/>
      <c r="H10" s="156"/>
      <c r="I10" s="153"/>
      <c r="J10" s="161"/>
    </row>
    <row r="11" spans="1:10" ht="15">
      <c r="A11" s="125" t="str">
        <f>HLOOKUP(INDICE!$F$2,Nombres!$C$3:$E$853,9)</f>
        <v>Mexico</v>
      </c>
      <c r="B11" s="158">
        <v>2.2659735109687045</v>
      </c>
      <c r="C11" s="159">
        <v>2.3037390253016774</v>
      </c>
      <c r="D11" s="156">
        <v>2.3006796268556422</v>
      </c>
      <c r="E11" s="156">
        <v>2.3057918401882511</v>
      </c>
      <c r="F11" s="158">
        <v>2.1294098586780521</v>
      </c>
      <c r="G11" s="159">
        <v>1.9642932301377636</v>
      </c>
      <c r="H11" s="156">
        <v>2.0220795483716492</v>
      </c>
      <c r="I11" s="153"/>
      <c r="J11" s="161"/>
    </row>
    <row r="12" spans="1:10" ht="6" customHeight="1">
      <c r="A12" s="131"/>
      <c r="B12" s="160"/>
      <c r="C12" s="156"/>
      <c r="D12" s="156"/>
      <c r="E12" s="156"/>
      <c r="F12" s="160"/>
      <c r="G12" s="156"/>
      <c r="H12" s="156"/>
      <c r="I12" s="153"/>
      <c r="J12" s="161"/>
    </row>
    <row r="13" spans="1:10" customFormat="1" ht="15">
      <c r="A13" s="125" t="str">
        <f>HLOOKUP(INDICE!$F$2,Nombres!$C$3:$E$853,295)</f>
        <v xml:space="preserve">Turkey </v>
      </c>
      <c r="B13" s="158">
        <v>2.6294027202130277</v>
      </c>
      <c r="C13" s="159">
        <v>2.4865383069516698</v>
      </c>
      <c r="D13" s="159">
        <v>2.5323950895951568</v>
      </c>
      <c r="E13" s="159">
        <v>3.8857859174399474</v>
      </c>
      <c r="F13" s="158">
        <v>3.7277549388742637</v>
      </c>
      <c r="G13" s="159">
        <v>4.4748865673876006</v>
      </c>
      <c r="H13" s="159">
        <v>5.1567079218058653</v>
      </c>
      <c r="I13" s="153"/>
    </row>
    <row r="14" spans="1:10" ht="6" customHeight="1">
      <c r="A14" s="131"/>
      <c r="B14" s="160"/>
      <c r="C14" s="156"/>
      <c r="D14" s="156"/>
      <c r="E14" s="156"/>
      <c r="F14" s="160"/>
      <c r="G14" s="156"/>
      <c r="H14" s="156"/>
      <c r="I14" s="153"/>
      <c r="J14" s="161"/>
    </row>
    <row r="15" spans="1:10" customFormat="1" ht="15">
      <c r="A15" s="125" t="str">
        <f>HLOOKUP(INDICE!$F$2,Nombres!$C$3:$E$853,12)</f>
        <v>South America</v>
      </c>
      <c r="B15" s="158">
        <v>3.304481854692376</v>
      </c>
      <c r="C15" s="159">
        <v>3.4643782494600317</v>
      </c>
      <c r="D15" s="159">
        <v>3.4532246754417883</v>
      </c>
      <c r="E15" s="159">
        <v>3.4047710441995922</v>
      </c>
      <c r="F15" s="158">
        <v>3.6148030352735665</v>
      </c>
      <c r="G15" s="159">
        <v>3.7236761677894572</v>
      </c>
      <c r="H15" s="159">
        <v>4.2563532442660437</v>
      </c>
      <c r="I15" s="153"/>
    </row>
    <row r="16" spans="1:10" s="157" customFormat="1" ht="6" customHeight="1">
      <c r="A16" s="162"/>
      <c r="B16" s="163"/>
      <c r="C16" s="164"/>
      <c r="D16" s="164"/>
      <c r="E16" s="164"/>
      <c r="F16" s="163"/>
      <c r="G16" s="164"/>
      <c r="H16" s="164"/>
      <c r="I16" s="153"/>
      <c r="J16" s="161"/>
    </row>
    <row r="17" spans="1:10" ht="14.25">
      <c r="A17" s="125" t="str">
        <f>HLOOKUP(INDICE!$F$2,Nombres!$C$3:$E$853,184)</f>
        <v>Rest of Eurasia</v>
      </c>
      <c r="B17" s="158">
        <v>2.8394489726069918</v>
      </c>
      <c r="C17" s="159">
        <v>2.6102897807551617</v>
      </c>
      <c r="D17" s="159">
        <v>2.5918185634126525</v>
      </c>
      <c r="E17" s="159">
        <v>2.4017721585983565</v>
      </c>
      <c r="F17" s="158">
        <v>2.0698364719742384</v>
      </c>
      <c r="G17" s="159">
        <v>1.684983783702735</v>
      </c>
      <c r="H17" s="159">
        <v>1.5772104810965419</v>
      </c>
    </row>
    <row r="18" spans="1:10" s="157" customFormat="1" ht="14.25">
      <c r="A18" s="135"/>
      <c r="B18" s="164"/>
      <c r="C18" s="164"/>
      <c r="D18" s="165"/>
      <c r="E18" s="165"/>
      <c r="F18" s="164"/>
      <c r="G18" s="164"/>
      <c r="H18" s="165"/>
      <c r="I18" s="161"/>
      <c r="J18" s="161"/>
    </row>
    <row r="19" spans="1:10" ht="14.25">
      <c r="A19" s="131"/>
      <c r="B19" s="164"/>
      <c r="C19" s="164"/>
      <c r="D19" s="165"/>
      <c r="E19" s="165"/>
      <c r="F19" s="164"/>
      <c r="G19" s="164"/>
      <c r="H19" s="165"/>
      <c r="I19" s="161"/>
      <c r="J19" s="161"/>
    </row>
    <row r="20" spans="1:10" s="168" customFormat="1" ht="18">
      <c r="A20" s="65" t="str">
        <f>HLOOKUP(INDICE!$F$2,Nombres!$C$3:$E$853,140)</f>
        <v>NPL coverage ratio</v>
      </c>
      <c r="B20" s="166"/>
      <c r="C20" s="166"/>
      <c r="D20" s="167"/>
      <c r="E20" s="167"/>
      <c r="F20" s="166"/>
      <c r="G20" s="166"/>
      <c r="H20" s="167"/>
      <c r="I20" s="161"/>
      <c r="J20" s="161"/>
    </row>
    <row r="21" spans="1:10" ht="13.5" customHeight="1">
      <c r="A21" s="150" t="str">
        <f>HLOOKUP(INDICE!$F$2,Nombres!$C$3:$E$853,327)</f>
        <v>(Percentage)</v>
      </c>
      <c r="B21" s="169"/>
      <c r="C21" s="169"/>
      <c r="D21" s="165"/>
      <c r="E21" s="165"/>
      <c r="F21" s="169"/>
      <c r="G21" s="169"/>
      <c r="H21" s="165"/>
      <c r="I21" s="161"/>
      <c r="J21" s="161"/>
    </row>
    <row r="22" spans="1:10" ht="15.75">
      <c r="A22" s="131"/>
      <c r="B22" s="59">
        <v>42825</v>
      </c>
      <c r="C22" s="59">
        <v>42916</v>
      </c>
      <c r="D22" s="59">
        <v>43008</v>
      </c>
      <c r="E22" s="59">
        <v>43100</v>
      </c>
      <c r="F22" s="59">
        <v>43190</v>
      </c>
      <c r="G22" s="59">
        <v>43281</v>
      </c>
      <c r="H22" s="59">
        <v>43373</v>
      </c>
      <c r="I22" s="161"/>
      <c r="J22" s="161"/>
    </row>
    <row r="23" spans="1:10" ht="6.75" customHeight="1">
      <c r="A23" s="131"/>
      <c r="B23" s="170"/>
      <c r="C23" s="170"/>
      <c r="D23" s="165"/>
      <c r="E23" s="165"/>
      <c r="F23" s="170"/>
      <c r="G23" s="170"/>
      <c r="H23" s="165"/>
      <c r="I23" s="161"/>
      <c r="J23" s="161"/>
    </row>
    <row r="24" spans="1:10" customFormat="1" ht="15">
      <c r="A24" s="139" t="str">
        <f>HLOOKUP(INDICE!$F$2,Nombres!$C$3:$E$853,164)</f>
        <v>BBVA Group</v>
      </c>
      <c r="B24" s="171">
        <v>70.515529049041064</v>
      </c>
      <c r="C24" s="172">
        <v>70.81339595538887</v>
      </c>
      <c r="D24" s="172">
        <v>71.862615385894273</v>
      </c>
      <c r="E24" s="172">
        <v>64.994203355738961</v>
      </c>
      <c r="F24" s="171">
        <v>72.659805336666835</v>
      </c>
      <c r="G24" s="172">
        <v>71.000968713828726</v>
      </c>
      <c r="H24" s="172">
        <v>72.853550974651526</v>
      </c>
      <c r="I24" s="173"/>
    </row>
    <row r="25" spans="1:10" s="157" customFormat="1" ht="6.75" customHeight="1">
      <c r="A25" s="131"/>
      <c r="B25" s="174"/>
      <c r="C25" s="175"/>
      <c r="D25" s="175"/>
      <c r="E25" s="175"/>
      <c r="F25" s="174"/>
      <c r="G25" s="175"/>
      <c r="H25" s="175"/>
      <c r="I25" s="173"/>
      <c r="J25" s="161"/>
    </row>
    <row r="26" spans="1:10" customFormat="1" ht="15">
      <c r="A26" s="125" t="str">
        <f>HLOOKUP(INDICE!$F$2,Nombres!$C$3:$E$853,301)</f>
        <v>Banking activity in Spain</v>
      </c>
      <c r="B26" s="176">
        <v>53.085436644360648</v>
      </c>
      <c r="C26" s="177">
        <v>52.723283970589797</v>
      </c>
      <c r="D26" s="177">
        <v>52.294371432896078</v>
      </c>
      <c r="E26" s="177">
        <v>49.95149623110656</v>
      </c>
      <c r="F26" s="176">
        <v>57.197688560520433</v>
      </c>
      <c r="G26" s="177">
        <v>56.847061931185614</v>
      </c>
      <c r="H26" s="177">
        <v>56.167705151008683</v>
      </c>
      <c r="I26" s="173"/>
      <c r="J26" s="178"/>
    </row>
    <row r="27" spans="1:10" ht="6" customHeight="1">
      <c r="A27" s="131"/>
      <c r="B27" s="179"/>
      <c r="C27" s="175"/>
      <c r="D27" s="175"/>
      <c r="E27" s="175"/>
      <c r="F27" s="179"/>
      <c r="G27" s="175"/>
      <c r="H27" s="175"/>
      <c r="I27" s="173"/>
      <c r="J27" s="161"/>
    </row>
    <row r="28" spans="1:10" customFormat="1" ht="15">
      <c r="A28" s="125" t="str">
        <f>HLOOKUP(INDICE!$F$2,Nombres!$C$3:$E$853,20)</f>
        <v>The United States</v>
      </c>
      <c r="B28" s="176">
        <v>106.04055475043239</v>
      </c>
      <c r="C28" s="177">
        <v>104.2612512611887</v>
      </c>
      <c r="D28" s="177">
        <v>118.64092518510334</v>
      </c>
      <c r="E28" s="177">
        <v>103.82071434059242</v>
      </c>
      <c r="F28" s="176">
        <v>98.091043588435014</v>
      </c>
      <c r="G28" s="177">
        <v>93.312564567897681</v>
      </c>
      <c r="H28" s="177">
        <v>101.11133015211315</v>
      </c>
      <c r="I28" s="173"/>
    </row>
    <row r="29" spans="1:10" ht="6" customHeight="1">
      <c r="A29" s="149"/>
      <c r="B29" s="176"/>
      <c r="C29" s="177"/>
      <c r="D29" s="175"/>
      <c r="E29" s="175"/>
      <c r="F29" s="176"/>
      <c r="G29" s="177"/>
      <c r="H29" s="175"/>
      <c r="I29" s="173"/>
      <c r="J29" s="161"/>
    </row>
    <row r="30" spans="1:10" customFormat="1" ht="15">
      <c r="A30" s="125" t="str">
        <f>HLOOKUP(INDICE!$F$2,Nombres!$C$3:$E$853,9)</f>
        <v>Mexico</v>
      </c>
      <c r="B30" s="176">
        <v>128.62975964311562</v>
      </c>
      <c r="C30" s="177">
        <v>125.73364675316685</v>
      </c>
      <c r="D30" s="177">
        <v>126.19941440518596</v>
      </c>
      <c r="E30" s="177">
        <v>123.3005924320971</v>
      </c>
      <c r="F30" s="176">
        <v>153.27095203949887</v>
      </c>
      <c r="G30" s="177">
        <v>154.58811836121524</v>
      </c>
      <c r="H30" s="177">
        <v>149.46022517398183</v>
      </c>
      <c r="I30" s="173"/>
    </row>
    <row r="31" spans="1:10" customFormat="1" ht="5.25" customHeight="1">
      <c r="A31" s="131"/>
      <c r="B31" s="179"/>
      <c r="C31" s="175"/>
      <c r="D31" s="177"/>
      <c r="E31" s="177"/>
      <c r="F31" s="179"/>
      <c r="G31" s="175"/>
      <c r="H31" s="177"/>
      <c r="I31" s="173"/>
    </row>
    <row r="32" spans="1:10" customFormat="1" ht="15">
      <c r="A32" s="125" t="str">
        <f>HLOOKUP(INDICE!$F$2,Nombres!$C$3:$E$853,295)</f>
        <v xml:space="preserve">Turkey </v>
      </c>
      <c r="B32" s="176">
        <v>128.41793700333736</v>
      </c>
      <c r="C32" s="177">
        <v>135.03427925772166</v>
      </c>
      <c r="D32" s="177">
        <v>138.02695718603735</v>
      </c>
      <c r="E32" s="177">
        <v>85.18376485836329</v>
      </c>
      <c r="F32" s="176">
        <v>85.75426456918683</v>
      </c>
      <c r="G32" s="177">
        <v>75.649588383157351</v>
      </c>
      <c r="H32" s="177">
        <v>76.468165562467433</v>
      </c>
      <c r="I32" s="173"/>
    </row>
    <row r="33" spans="1:10" ht="6.75" customHeight="1">
      <c r="A33" s="162"/>
      <c r="B33" s="180"/>
      <c r="C33" s="181"/>
      <c r="D33" s="181"/>
      <c r="E33" s="181"/>
      <c r="F33" s="180"/>
      <c r="G33" s="181"/>
      <c r="H33" s="181"/>
      <c r="I33" s="173"/>
      <c r="J33" s="161"/>
    </row>
    <row r="34" spans="1:10" customFormat="1" ht="15">
      <c r="A34" s="125" t="str">
        <f>HLOOKUP(INDICE!$F$2,Nombres!$C$3:$E$853,12)</f>
        <v>South America</v>
      </c>
      <c r="B34" s="176">
        <v>96.494700645546942</v>
      </c>
      <c r="C34" s="177">
        <v>94.370777878948147</v>
      </c>
      <c r="D34" s="177">
        <v>93.941900439196274</v>
      </c>
      <c r="E34" s="177">
        <v>89.015219860113149</v>
      </c>
      <c r="F34" s="176">
        <v>93.106021327578716</v>
      </c>
      <c r="G34" s="177">
        <v>91.286205897355472</v>
      </c>
      <c r="H34" s="177">
        <v>101.49806061824209</v>
      </c>
      <c r="I34" s="173"/>
    </row>
    <row r="35" spans="1:10" s="157" customFormat="1" ht="6" customHeight="1">
      <c r="A35" s="162"/>
      <c r="B35" s="180"/>
      <c r="C35" s="181"/>
      <c r="D35" s="181"/>
      <c r="E35" s="181"/>
      <c r="F35" s="180"/>
      <c r="G35" s="181"/>
      <c r="H35" s="181"/>
      <c r="I35" s="173"/>
      <c r="J35" s="161"/>
    </row>
    <row r="36" spans="1:10" ht="14.25">
      <c r="A36" s="125" t="str">
        <f>HLOOKUP(INDICE!$F$2,Nombres!$C$3:$E$853,184)</f>
        <v>Rest of Eurasia</v>
      </c>
      <c r="B36" s="176">
        <v>75.359229935456511</v>
      </c>
      <c r="C36" s="177">
        <v>81.770890196177675</v>
      </c>
      <c r="D36" s="177">
        <v>84.962878146580479</v>
      </c>
      <c r="E36" s="177">
        <v>74.390973646595938</v>
      </c>
      <c r="F36" s="176">
        <v>87.738046993159642</v>
      </c>
      <c r="G36" s="177">
        <v>92.973857356130765</v>
      </c>
      <c r="H36" s="177">
        <v>100.49359273861864</v>
      </c>
    </row>
    <row r="37" spans="1:10" s="157" customFormat="1" ht="14.25">
      <c r="A37" s="135"/>
      <c r="B37" s="92"/>
      <c r="C37" s="92"/>
      <c r="D37" s="165"/>
      <c r="E37" s="165"/>
      <c r="F37" s="92"/>
      <c r="G37" s="92"/>
      <c r="H37" s="165"/>
      <c r="I37" s="161"/>
      <c r="J37" s="161"/>
    </row>
    <row r="38" spans="1:10" ht="12" customHeight="1">
      <c r="A38" s="131"/>
      <c r="B38" s="92"/>
      <c r="C38" s="92"/>
      <c r="D38" s="165"/>
      <c r="E38" s="165"/>
      <c r="F38" s="92"/>
      <c r="G38" s="92"/>
      <c r="H38" s="165"/>
      <c r="I38" s="161"/>
      <c r="J38" s="161"/>
    </row>
    <row r="39" spans="1:10" ht="18">
      <c r="A39" s="65" t="str">
        <f>HLOOKUP(INDICE!$F$2,Nombres!$C$3:$E$853,198)</f>
        <v>Cost of risk</v>
      </c>
      <c r="B39" s="166"/>
      <c r="C39" s="166"/>
      <c r="D39" s="167"/>
      <c r="E39" s="167"/>
      <c r="F39" s="166"/>
      <c r="G39" s="166"/>
      <c r="H39" s="167"/>
      <c r="I39" s="161"/>
      <c r="J39" s="161"/>
    </row>
    <row r="40" spans="1:10" ht="12.75" customHeight="1">
      <c r="A40" s="150" t="str">
        <f>HLOOKUP(INDICE!$F$2,Nombres!$C$3:$E$853,327)</f>
        <v>(Percentage)</v>
      </c>
      <c r="B40" s="92"/>
      <c r="C40" s="92"/>
      <c r="D40" s="165"/>
      <c r="E40" s="165"/>
      <c r="F40" s="92"/>
      <c r="G40" s="92"/>
      <c r="H40" s="165"/>
      <c r="I40" s="161"/>
      <c r="J40" s="161"/>
    </row>
    <row r="41" spans="1:10" ht="15.75">
      <c r="A41" s="131"/>
      <c r="B41" s="59">
        <v>42825</v>
      </c>
      <c r="C41" s="59">
        <v>42916</v>
      </c>
      <c r="D41" s="59">
        <v>43008</v>
      </c>
      <c r="E41" s="59">
        <v>43100</v>
      </c>
      <c r="F41" s="59">
        <v>43190</v>
      </c>
      <c r="G41" s="59">
        <v>43281</v>
      </c>
      <c r="H41" s="59">
        <v>43373</v>
      </c>
      <c r="I41" s="161"/>
      <c r="J41" s="161"/>
    </row>
    <row r="42" spans="1:10" ht="14.25">
      <c r="A42" s="131"/>
      <c r="B42" s="170"/>
      <c r="C42" s="170"/>
      <c r="D42" s="165"/>
      <c r="E42" s="165"/>
      <c r="F42" s="170"/>
      <c r="G42" s="170"/>
      <c r="H42" s="165"/>
      <c r="I42" s="161"/>
      <c r="J42" s="161"/>
    </row>
    <row r="43" spans="1:10" customFormat="1" ht="15">
      <c r="A43" s="139" t="str">
        <f>HLOOKUP(INDICE!$F$2,Nombres!$C$3:$E$853,164)</f>
        <v>BBVA Group</v>
      </c>
      <c r="B43" s="182">
        <v>0.9100683059742305</v>
      </c>
      <c r="C43" s="183">
        <v>0.93348614127282459</v>
      </c>
      <c r="D43" s="183">
        <v>0.93724505244183254</v>
      </c>
      <c r="E43" s="183">
        <v>0.88659302078778546</v>
      </c>
      <c r="F43" s="182">
        <v>0.84892626654211412</v>
      </c>
      <c r="G43" s="183">
        <v>0.81983841112002187</v>
      </c>
      <c r="H43" s="183">
        <v>0.89714411391083582</v>
      </c>
      <c r="I43" s="129"/>
    </row>
    <row r="44" spans="1:10" s="157" customFormat="1" ht="6.75" customHeight="1">
      <c r="A44" s="131"/>
      <c r="B44" s="184"/>
      <c r="C44" s="185"/>
      <c r="D44" s="185"/>
      <c r="E44" s="185"/>
      <c r="F44" s="184"/>
      <c r="G44" s="185"/>
      <c r="H44" s="185"/>
      <c r="I44" s="161"/>
      <c r="J44" s="161"/>
    </row>
    <row r="45" spans="1:10" customFormat="1" ht="15">
      <c r="A45" s="125" t="str">
        <f>HLOOKUP(INDICE!$F$2,Nombres!$C$3:$E$853,301)</f>
        <v>Banking activity in Spain</v>
      </c>
      <c r="B45" s="186">
        <v>0.38367008040581174</v>
      </c>
      <c r="C45" s="187">
        <v>0.35065866086191833</v>
      </c>
      <c r="D45" s="187">
        <v>0.32888913964833572</v>
      </c>
      <c r="E45" s="187">
        <v>0.31900825662523652</v>
      </c>
      <c r="F45" s="186">
        <v>0.17238389969938128</v>
      </c>
      <c r="G45" s="187">
        <v>0.20857955913070897</v>
      </c>
      <c r="H45" s="187">
        <v>0.22153077024878493</v>
      </c>
      <c r="I45" s="129"/>
    </row>
    <row r="46" spans="1:10" ht="6" customHeight="1">
      <c r="A46" s="131"/>
      <c r="B46" s="188"/>
      <c r="C46" s="185"/>
      <c r="D46" s="185"/>
      <c r="E46" s="185"/>
      <c r="F46" s="188"/>
      <c r="G46" s="185"/>
      <c r="H46" s="185"/>
      <c r="I46" s="161"/>
      <c r="J46" s="161"/>
    </row>
    <row r="47" spans="1:10" customFormat="1" ht="15">
      <c r="A47" s="125" t="str">
        <f>HLOOKUP(INDICE!$F$2,Nombres!$C$3:$E$853,20)</f>
        <v>The United States</v>
      </c>
      <c r="B47" s="186">
        <v>0.48645403817858396</v>
      </c>
      <c r="C47" s="187">
        <v>0.38637423922874736</v>
      </c>
      <c r="D47" s="187">
        <v>0.4551172296593432</v>
      </c>
      <c r="E47" s="187">
        <v>0.42616380957216121</v>
      </c>
      <c r="F47" s="186">
        <v>0.1561707076331699</v>
      </c>
      <c r="G47" s="187">
        <v>0.23329805444478924</v>
      </c>
      <c r="H47" s="187">
        <v>0.33065160682571287</v>
      </c>
      <c r="I47" s="129"/>
    </row>
    <row r="48" spans="1:10" customFormat="1" ht="8.25" customHeight="1">
      <c r="A48" s="125"/>
      <c r="B48" s="186"/>
      <c r="C48" s="187"/>
      <c r="D48" s="187"/>
      <c r="E48" s="187"/>
      <c r="F48" s="186"/>
      <c r="G48" s="187"/>
      <c r="H48" s="187"/>
      <c r="I48" s="129"/>
    </row>
    <row r="49" spans="1:10" customFormat="1" ht="15">
      <c r="A49" s="125" t="str">
        <f>HLOOKUP(INDICE!$F$2,Nombres!$C$3:$E$853,9)</f>
        <v>Mexico</v>
      </c>
      <c r="B49" s="186">
        <v>3.2713334110247967</v>
      </c>
      <c r="C49" s="187">
        <v>3.2879669113706642</v>
      </c>
      <c r="D49" s="187">
        <v>3.3073929006148992</v>
      </c>
      <c r="E49" s="187">
        <v>3.2384943388702769</v>
      </c>
      <c r="F49" s="186">
        <v>3.1826216360111368</v>
      </c>
      <c r="G49" s="187">
        <v>2.930225511809458</v>
      </c>
      <c r="H49" s="187">
        <v>2.8225978533769061</v>
      </c>
      <c r="I49" s="129"/>
    </row>
    <row r="50" spans="1:10" ht="6" customHeight="1">
      <c r="A50" s="131"/>
      <c r="B50" s="188"/>
      <c r="C50" s="185"/>
      <c r="D50" s="185"/>
      <c r="E50" s="185"/>
      <c r="F50" s="188"/>
      <c r="G50" s="185"/>
      <c r="H50" s="185"/>
      <c r="I50" s="161"/>
      <c r="J50" s="161"/>
    </row>
    <row r="51" spans="1:10" customFormat="1" ht="15">
      <c r="A51" s="125" t="str">
        <f>HLOOKUP(INDICE!$F$2,Nombres!$C$3:$E$853,295)</f>
        <v xml:space="preserve">Turkey </v>
      </c>
      <c r="B51" s="186">
        <v>0.85228827448862698</v>
      </c>
      <c r="C51" s="187">
        <v>0.83920556160967408</v>
      </c>
      <c r="D51" s="187">
        <v>0.83348877789324161</v>
      </c>
      <c r="E51" s="187">
        <v>0.81976318376798873</v>
      </c>
      <c r="F51" s="186">
        <v>1.1670798304323489</v>
      </c>
      <c r="G51" s="187">
        <v>1.2250255175863396</v>
      </c>
      <c r="H51" s="187">
        <v>1.7172594408146027</v>
      </c>
      <c r="I51" s="129"/>
    </row>
    <row r="52" spans="1:10" ht="6.75" customHeight="1">
      <c r="A52" s="162"/>
      <c r="B52" s="189"/>
      <c r="C52" s="190"/>
      <c r="D52" s="190"/>
      <c r="E52" s="190"/>
      <c r="F52" s="189"/>
      <c r="G52" s="190"/>
      <c r="H52" s="190"/>
      <c r="I52" s="161"/>
      <c r="J52" s="161"/>
    </row>
    <row r="53" spans="1:10" customFormat="1" ht="15">
      <c r="A53" s="125" t="str">
        <f>HLOOKUP(INDICE!$F$2,Nombres!$C$3:$E$853,12)</f>
        <v>South America</v>
      </c>
      <c r="B53" s="186">
        <v>1.4854842128461498</v>
      </c>
      <c r="C53" s="187">
        <v>1.5217342919728531</v>
      </c>
      <c r="D53" s="187">
        <v>1.51121858127901</v>
      </c>
      <c r="E53" s="187">
        <v>1.318639309000168</v>
      </c>
      <c r="F53" s="186">
        <v>1.3745938449410033</v>
      </c>
      <c r="G53" s="187">
        <v>1.2980768003112131</v>
      </c>
      <c r="H53" s="187">
        <v>1.4466265964498439</v>
      </c>
      <c r="I53" s="129"/>
    </row>
    <row r="54" spans="1:10" s="157" customFormat="1" ht="6" customHeight="1">
      <c r="A54" s="162"/>
      <c r="B54" s="189"/>
      <c r="C54" s="190"/>
      <c r="D54" s="190"/>
      <c r="E54" s="190"/>
      <c r="F54" s="189"/>
      <c r="G54" s="190"/>
      <c r="H54" s="190"/>
      <c r="I54" s="161"/>
      <c r="J54" s="161"/>
    </row>
    <row r="55" spans="1:10" ht="14.25">
      <c r="A55" s="125" t="s">
        <v>337</v>
      </c>
      <c r="B55" s="186">
        <v>-0.18574127183388223</v>
      </c>
      <c r="C55" s="187">
        <v>-0.13649678956981928</v>
      </c>
      <c r="D55" s="187">
        <v>-9.4361499279146013E-2</v>
      </c>
      <c r="E55" s="187">
        <v>-0.1615096371771968</v>
      </c>
      <c r="F55" s="186">
        <v>-0.36072261704340919</v>
      </c>
      <c r="G55" s="187">
        <v>-0.15133969097524752</v>
      </c>
      <c r="H55" s="187">
        <v>0.13247187905193689</v>
      </c>
    </row>
    <row r="56" spans="1:10" ht="14.25">
      <c r="A56" s="135"/>
      <c r="B56" s="131"/>
      <c r="C56" s="92"/>
      <c r="D56" s="92"/>
      <c r="E56" s="92"/>
      <c r="F56" s="131"/>
      <c r="G56" s="131"/>
      <c r="H56" s="131"/>
    </row>
    <row r="57" spans="1:10" ht="14.25">
      <c r="A57" s="131"/>
      <c r="B57" s="131"/>
      <c r="C57" s="131"/>
      <c r="D57" s="131"/>
      <c r="E57" s="131"/>
      <c r="F57" s="131"/>
      <c r="G57" s="131"/>
      <c r="H57" s="131"/>
    </row>
    <row r="58" spans="1:10" ht="14.25">
      <c r="A58" s="131"/>
      <c r="B58" s="131"/>
      <c r="C58" s="131"/>
      <c r="D58" s="131"/>
      <c r="E58" s="131"/>
      <c r="F58" s="131"/>
      <c r="G58" s="131"/>
      <c r="H58" s="131"/>
    </row>
    <row r="59" spans="1:10">
      <c r="A59" s="191"/>
      <c r="B59" s="109"/>
      <c r="C59" s="109"/>
      <c r="D59" s="109"/>
      <c r="E59" s="109"/>
      <c r="F59" s="109"/>
      <c r="G59" s="109"/>
      <c r="H59" s="19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zoomScale="85" zoomScaleNormal="85" workbookViewId="0"/>
  </sheetViews>
  <sheetFormatPr baseColWidth="10" defaultRowHeight="15"/>
  <cols>
    <col min="1" max="1" width="73.7109375" style="217" customWidth="1"/>
    <col min="2" max="2" width="10.85546875" customWidth="1"/>
    <col min="3" max="5" width="10.85546875" style="218" customWidth="1"/>
    <col min="6" max="8" width="10.85546875" customWidth="1"/>
    <col min="256" max="256" width="73.7109375" customWidth="1"/>
    <col min="257" max="264" width="10.85546875" customWidth="1"/>
    <col min="512" max="512" width="73.7109375" customWidth="1"/>
    <col min="513" max="520" width="10.85546875" customWidth="1"/>
    <col min="768" max="768" width="73.7109375" customWidth="1"/>
    <col min="769" max="776" width="10.85546875" customWidth="1"/>
    <col min="1024" max="1024" width="73.7109375" customWidth="1"/>
    <col min="1025" max="1032" width="10.85546875" customWidth="1"/>
    <col min="1280" max="1280" width="73.7109375" customWidth="1"/>
    <col min="1281" max="1288" width="10.85546875" customWidth="1"/>
    <col min="1536" max="1536" width="73.7109375" customWidth="1"/>
    <col min="1537" max="1544" width="10.85546875" customWidth="1"/>
    <col min="1792" max="1792" width="73.7109375" customWidth="1"/>
    <col min="1793" max="1800" width="10.85546875" customWidth="1"/>
    <col min="2048" max="2048" width="73.7109375" customWidth="1"/>
    <col min="2049" max="2056" width="10.85546875" customWidth="1"/>
    <col min="2304" max="2304" width="73.7109375" customWidth="1"/>
    <col min="2305" max="2312" width="10.85546875" customWidth="1"/>
    <col min="2560" max="2560" width="73.7109375" customWidth="1"/>
    <col min="2561" max="2568" width="10.85546875" customWidth="1"/>
    <col min="2816" max="2816" width="73.7109375" customWidth="1"/>
    <col min="2817" max="2824" width="10.85546875" customWidth="1"/>
    <col min="3072" max="3072" width="73.7109375" customWidth="1"/>
    <col min="3073" max="3080" width="10.85546875" customWidth="1"/>
    <col min="3328" max="3328" width="73.7109375" customWidth="1"/>
    <col min="3329" max="3336" width="10.85546875" customWidth="1"/>
    <col min="3584" max="3584" width="73.7109375" customWidth="1"/>
    <col min="3585" max="3592" width="10.85546875" customWidth="1"/>
    <col min="3840" max="3840" width="73.7109375" customWidth="1"/>
    <col min="3841" max="3848" width="10.85546875" customWidth="1"/>
    <col min="4096" max="4096" width="73.7109375" customWidth="1"/>
    <col min="4097" max="4104" width="10.85546875" customWidth="1"/>
    <col min="4352" max="4352" width="73.7109375" customWidth="1"/>
    <col min="4353" max="4360" width="10.85546875" customWidth="1"/>
    <col min="4608" max="4608" width="73.7109375" customWidth="1"/>
    <col min="4609" max="4616" width="10.85546875" customWidth="1"/>
    <col min="4864" max="4864" width="73.7109375" customWidth="1"/>
    <col min="4865" max="4872" width="10.85546875" customWidth="1"/>
    <col min="5120" max="5120" width="73.7109375" customWidth="1"/>
    <col min="5121" max="5128" width="10.85546875" customWidth="1"/>
    <col min="5376" max="5376" width="73.7109375" customWidth="1"/>
    <col min="5377" max="5384" width="10.85546875" customWidth="1"/>
    <col min="5632" max="5632" width="73.7109375" customWidth="1"/>
    <col min="5633" max="5640" width="10.85546875" customWidth="1"/>
    <col min="5888" max="5888" width="73.7109375" customWidth="1"/>
    <col min="5889" max="5896" width="10.85546875" customWidth="1"/>
    <col min="6144" max="6144" width="73.7109375" customWidth="1"/>
    <col min="6145" max="6152" width="10.85546875" customWidth="1"/>
    <col min="6400" max="6400" width="73.7109375" customWidth="1"/>
    <col min="6401" max="6408" width="10.85546875" customWidth="1"/>
    <col min="6656" max="6656" width="73.7109375" customWidth="1"/>
    <col min="6657" max="6664" width="10.85546875" customWidth="1"/>
    <col min="6912" max="6912" width="73.7109375" customWidth="1"/>
    <col min="6913" max="6920" width="10.85546875" customWidth="1"/>
    <col min="7168" max="7168" width="73.7109375" customWidth="1"/>
    <col min="7169" max="7176" width="10.85546875" customWidth="1"/>
    <col min="7424" max="7424" width="73.7109375" customWidth="1"/>
    <col min="7425" max="7432" width="10.85546875" customWidth="1"/>
    <col min="7680" max="7680" width="73.7109375" customWidth="1"/>
    <col min="7681" max="7688" width="10.85546875" customWidth="1"/>
    <col min="7936" max="7936" width="73.7109375" customWidth="1"/>
    <col min="7937" max="7944" width="10.85546875" customWidth="1"/>
    <col min="8192" max="8192" width="73.7109375" customWidth="1"/>
    <col min="8193" max="8200" width="10.85546875" customWidth="1"/>
    <col min="8448" max="8448" width="73.7109375" customWidth="1"/>
    <col min="8449" max="8456" width="10.85546875" customWidth="1"/>
    <col min="8704" max="8704" width="73.7109375" customWidth="1"/>
    <col min="8705" max="8712" width="10.85546875" customWidth="1"/>
    <col min="8960" max="8960" width="73.7109375" customWidth="1"/>
    <col min="8961" max="8968" width="10.85546875" customWidth="1"/>
    <col min="9216" max="9216" width="73.7109375" customWidth="1"/>
    <col min="9217" max="9224" width="10.85546875" customWidth="1"/>
    <col min="9472" max="9472" width="73.7109375" customWidth="1"/>
    <col min="9473" max="9480" width="10.85546875" customWidth="1"/>
    <col min="9728" max="9728" width="73.7109375" customWidth="1"/>
    <col min="9729" max="9736" width="10.85546875" customWidth="1"/>
    <col min="9984" max="9984" width="73.7109375" customWidth="1"/>
    <col min="9985" max="9992" width="10.85546875" customWidth="1"/>
    <col min="10240" max="10240" width="73.7109375" customWidth="1"/>
    <col min="10241" max="10248" width="10.85546875" customWidth="1"/>
    <col min="10496" max="10496" width="73.7109375" customWidth="1"/>
    <col min="10497" max="10504" width="10.85546875" customWidth="1"/>
    <col min="10752" max="10752" width="73.7109375" customWidth="1"/>
    <col min="10753" max="10760" width="10.85546875" customWidth="1"/>
    <col min="11008" max="11008" width="73.7109375" customWidth="1"/>
    <col min="11009" max="11016" width="10.85546875" customWidth="1"/>
    <col min="11264" max="11264" width="73.7109375" customWidth="1"/>
    <col min="11265" max="11272" width="10.85546875" customWidth="1"/>
    <col min="11520" max="11520" width="73.7109375" customWidth="1"/>
    <col min="11521" max="11528" width="10.85546875" customWidth="1"/>
    <col min="11776" max="11776" width="73.7109375" customWidth="1"/>
    <col min="11777" max="11784" width="10.85546875" customWidth="1"/>
    <col min="12032" max="12032" width="73.7109375" customWidth="1"/>
    <col min="12033" max="12040" width="10.85546875" customWidth="1"/>
    <col min="12288" max="12288" width="73.7109375" customWidth="1"/>
    <col min="12289" max="12296" width="10.85546875" customWidth="1"/>
    <col min="12544" max="12544" width="73.7109375" customWidth="1"/>
    <col min="12545" max="12552" width="10.85546875" customWidth="1"/>
    <col min="12800" max="12800" width="73.7109375" customWidth="1"/>
    <col min="12801" max="12808" width="10.85546875" customWidth="1"/>
    <col min="13056" max="13056" width="73.7109375" customWidth="1"/>
    <col min="13057" max="13064" width="10.85546875" customWidth="1"/>
    <col min="13312" max="13312" width="73.7109375" customWidth="1"/>
    <col min="13313" max="13320" width="10.85546875" customWidth="1"/>
    <col min="13568" max="13568" width="73.7109375" customWidth="1"/>
    <col min="13569" max="13576" width="10.85546875" customWidth="1"/>
    <col min="13824" max="13824" width="73.7109375" customWidth="1"/>
    <col min="13825" max="13832" width="10.85546875" customWidth="1"/>
    <col min="14080" max="14080" width="73.7109375" customWidth="1"/>
    <col min="14081" max="14088" width="10.85546875" customWidth="1"/>
    <col min="14336" max="14336" width="73.7109375" customWidth="1"/>
    <col min="14337" max="14344" width="10.85546875" customWidth="1"/>
    <col min="14592" max="14592" width="73.7109375" customWidth="1"/>
    <col min="14593" max="14600" width="10.85546875" customWidth="1"/>
    <col min="14848" max="14848" width="73.7109375" customWidth="1"/>
    <col min="14849" max="14856" width="10.85546875" customWidth="1"/>
    <col min="15104" max="15104" width="73.7109375" customWidth="1"/>
    <col min="15105" max="15112" width="10.85546875" customWidth="1"/>
    <col min="15360" max="15360" width="73.7109375" customWidth="1"/>
    <col min="15361" max="15368" width="10.85546875" customWidth="1"/>
    <col min="15616" max="15616" width="73.7109375" customWidth="1"/>
    <col min="15617" max="15624" width="10.85546875" customWidth="1"/>
    <col min="15872" max="15872" width="73.7109375" customWidth="1"/>
    <col min="15873" max="15880" width="10.85546875" customWidth="1"/>
    <col min="16128" max="16128" width="73.7109375" customWidth="1"/>
    <col min="16129" max="16136" width="10.85546875" customWidth="1"/>
  </cols>
  <sheetData>
    <row r="1" spans="1:8" ht="18" customHeight="1">
      <c r="A1" s="65" t="str">
        <f>HLOOKUP(INDICE!$F$2,Nombres!$C$3:$E$853,340)</f>
        <v xml:space="preserve">BBVA Group. Consolidated Income statement </v>
      </c>
      <c r="B1" s="298"/>
      <c r="C1" s="67"/>
      <c r="D1" s="67"/>
      <c r="E1" s="67"/>
      <c r="F1" s="67"/>
      <c r="G1" s="67"/>
      <c r="H1" s="67"/>
    </row>
    <row r="2" spans="1:8">
      <c r="A2" s="68" t="str">
        <f>HLOOKUP(INDICE!$F$2,Nombres!$C$3:$E$853,30)</f>
        <v>(Million euros)</v>
      </c>
      <c r="B2" s="72"/>
      <c r="C2" s="72"/>
      <c r="D2" s="200"/>
      <c r="E2" s="200"/>
      <c r="F2" s="72"/>
      <c r="G2" s="72"/>
      <c r="H2" s="72"/>
    </row>
    <row r="3" spans="1:8">
      <c r="A3" s="201"/>
      <c r="B3" s="72"/>
      <c r="C3" s="72"/>
      <c r="D3" s="200"/>
      <c r="E3" s="200"/>
      <c r="F3" s="72"/>
      <c r="G3" s="72"/>
      <c r="H3" s="72"/>
    </row>
    <row r="4" spans="1:8" ht="15.75">
      <c r="A4" s="73"/>
      <c r="B4" s="315">
        <v>2017</v>
      </c>
      <c r="C4" s="316"/>
      <c r="D4" s="316"/>
      <c r="E4" s="316"/>
      <c r="F4" s="315">
        <v>2018</v>
      </c>
      <c r="G4" s="316"/>
      <c r="H4" s="316"/>
    </row>
    <row r="5" spans="1:8" ht="15.75">
      <c r="A5" s="73"/>
      <c r="B5" s="93" t="str">
        <f>HLOOKUP(INDICE!$F$2,Nombres!$C$3:$E$857,34)</f>
        <v>1Q</v>
      </c>
      <c r="C5" s="93" t="str">
        <f>HLOOKUP(INDICE!$F$2,Nombres!$C$3:$E$857,35)</f>
        <v>2Q</v>
      </c>
      <c r="D5" s="93" t="str">
        <f>HLOOKUP(INDICE!$F$2,Nombres!$C$3:$E$857,36)</f>
        <v>3Q</v>
      </c>
      <c r="E5" s="93" t="str">
        <f>HLOOKUP(INDICE!$F$2,Nombres!$C$3:$E$857,37)</f>
        <v>4Q</v>
      </c>
      <c r="F5" s="93" t="str">
        <f>HLOOKUP(INDICE!$F$2,Nombres!$C$3:$E$857,34)</f>
        <v>1Q</v>
      </c>
      <c r="G5" s="93" t="str">
        <f>HLOOKUP(INDICE!$F$2,Nombres!$C$3:$E$857,35)</f>
        <v>2Q</v>
      </c>
      <c r="H5" s="93" t="str">
        <f>HLOOKUP(INDICE!$F$2,Nombres!$C$3:$E$857,36)</f>
        <v>3Q</v>
      </c>
    </row>
    <row r="6" spans="1:8">
      <c r="A6" s="139" t="str">
        <f>HLOOKUP(INDICE!$F$2,Nombres!$C$3:$E$853,38)</f>
        <v>Net interest income</v>
      </c>
      <c r="B6" s="299">
        <v>4322.4839950300002</v>
      </c>
      <c r="C6" s="78">
        <v>4480.8410011000005</v>
      </c>
      <c r="D6" s="78">
        <v>4398.5080049599992</v>
      </c>
      <c r="E6" s="300">
        <v>4556.642999310001</v>
      </c>
      <c r="F6" s="301">
        <v>4287.9038750299997</v>
      </c>
      <c r="G6" s="78">
        <v>4355.4231290099997</v>
      </c>
      <c r="H6" s="255">
        <v>4255.9670009399997</v>
      </c>
    </row>
    <row r="7" spans="1:8">
      <c r="A7" s="125" t="str">
        <f>HLOOKUP(INDICE!$F$2,Nombres!$C$3:$E$853,39)</f>
        <v>Net fees and commissions</v>
      </c>
      <c r="B7" s="204">
        <v>1223.4140024400001</v>
      </c>
      <c r="C7" s="82">
        <v>1232.8929983400001</v>
      </c>
      <c r="D7" s="82">
        <v>1248.9099972399997</v>
      </c>
      <c r="E7" s="205">
        <v>1215.4760062699997</v>
      </c>
      <c r="F7" s="216">
        <v>1236.3708889400002</v>
      </c>
      <c r="G7" s="82">
        <v>1255.6801111299999</v>
      </c>
      <c r="H7" s="69">
        <v>1161.2949999499999</v>
      </c>
    </row>
    <row r="8" spans="1:8">
      <c r="A8" s="125" t="str">
        <f>HLOOKUP(INDICE!$F$2,Nombres!$C$3:$E$853,40)</f>
        <v>Net trading income</v>
      </c>
      <c r="B8" s="204">
        <v>691.07100335999996</v>
      </c>
      <c r="C8" s="82">
        <v>377.80399205000003</v>
      </c>
      <c r="D8" s="82">
        <v>346.80200289000004</v>
      </c>
      <c r="E8" s="205">
        <v>552.36400729000002</v>
      </c>
      <c r="F8" s="216">
        <v>410.24400001999999</v>
      </c>
      <c r="G8" s="82">
        <v>297.48699998999996</v>
      </c>
      <c r="H8" s="69">
        <v>199.59799998</v>
      </c>
    </row>
    <row r="9" spans="1:8">
      <c r="A9" s="125" t="str">
        <f>HLOOKUP(INDICE!$F$2,Nombres!$C$3:$E$853,41)</f>
        <v>Dividend income</v>
      </c>
      <c r="B9" s="204">
        <v>43.029998519999999</v>
      </c>
      <c r="C9" s="82">
        <v>169.1449988</v>
      </c>
      <c r="D9" s="82">
        <v>35.25900094</v>
      </c>
      <c r="E9" s="205">
        <v>86.125001659999981</v>
      </c>
      <c r="F9" s="216">
        <v>11.561999999999982</v>
      </c>
      <c r="G9" s="82">
        <v>72.126000000000104</v>
      </c>
      <c r="H9" s="69">
        <v>11.028999999999941</v>
      </c>
    </row>
    <row r="10" spans="1:8">
      <c r="A10" s="125" t="str">
        <f>HLOOKUP(INDICE!$F$2,Nombres!$C$3:$E$853,42)</f>
        <v>Share of profit or loss of entities accounted for using the equity method</v>
      </c>
      <c r="B10" s="204">
        <v>-5.0950000000000006</v>
      </c>
      <c r="C10" s="82">
        <v>-2.479000000000001</v>
      </c>
      <c r="D10" s="82">
        <v>6.2430000000000039</v>
      </c>
      <c r="E10" s="205">
        <v>4.8309999999999995</v>
      </c>
      <c r="F10" s="216">
        <v>7.9649999999999999</v>
      </c>
      <c r="G10" s="82">
        <v>6.3359999999999985</v>
      </c>
      <c r="H10" s="69">
        <v>-2.9800000000000009</v>
      </c>
    </row>
    <row r="11" spans="1:8">
      <c r="A11" s="125" t="str">
        <f>HLOOKUP(INDICE!$F$2,Nombres!$C$3:$E$853,43)</f>
        <v>Other operating income and expenses</v>
      </c>
      <c r="B11" s="204">
        <v>107.71299968999999</v>
      </c>
      <c r="C11" s="82">
        <v>77.396003289999982</v>
      </c>
      <c r="D11" s="82">
        <v>153.66699718000001</v>
      </c>
      <c r="E11" s="205">
        <v>-53.51699991000001</v>
      </c>
      <c r="F11" s="216">
        <v>142.38600001000003</v>
      </c>
      <c r="G11" s="82">
        <v>-9.8210000099999561</v>
      </c>
      <c r="H11" s="69">
        <v>-102.44200000999999</v>
      </c>
    </row>
    <row r="12" spans="1:8">
      <c r="A12" s="139" t="str">
        <f>HLOOKUP(INDICE!$F$2,Nombres!$C$3:$E$853,44)</f>
        <v>Gross income</v>
      </c>
      <c r="B12" s="299">
        <v>6382.6169990400012</v>
      </c>
      <c r="C12" s="78">
        <v>6335.599993580001</v>
      </c>
      <c r="D12" s="78">
        <v>6189.3890032099989</v>
      </c>
      <c r="E12" s="300">
        <v>6361.9220146200023</v>
      </c>
      <c r="F12" s="301">
        <v>6096.4317640000008</v>
      </c>
      <c r="G12" s="78">
        <v>5977.2312401200006</v>
      </c>
      <c r="H12" s="255">
        <v>5522.4670008599996</v>
      </c>
    </row>
    <row r="13" spans="1:8">
      <c r="A13" s="125" t="str">
        <f>HLOOKUP(INDICE!$F$2,Nombres!$C$3:$E$853,45)</f>
        <v>Operating expenses</v>
      </c>
      <c r="B13" s="204">
        <v>-3136.9249994899997</v>
      </c>
      <c r="C13" s="82">
        <v>-3174.5230057899998</v>
      </c>
      <c r="D13" s="82">
        <v>-3074.5649991499999</v>
      </c>
      <c r="E13" s="205">
        <v>-3113.8429793599998</v>
      </c>
      <c r="F13" s="216">
        <v>-2979.08004893</v>
      </c>
      <c r="G13" s="82">
        <v>-2963.1559510899997</v>
      </c>
      <c r="H13" s="69">
        <v>-2779.0409998700002</v>
      </c>
    </row>
    <row r="14" spans="1:8">
      <c r="A14" s="125" t="str">
        <f>HLOOKUP(INDICE!$F$2,Nombres!$C$3:$E$853,46)</f>
        <v xml:space="preserve">  Administration expenses</v>
      </c>
      <c r="B14" s="204">
        <v>-2783.3880031499998</v>
      </c>
      <c r="C14" s="82">
        <v>-2815.8119994400004</v>
      </c>
      <c r="D14" s="82">
        <v>-2730.1849996299998</v>
      </c>
      <c r="E14" s="205">
        <v>-2783.0169810500001</v>
      </c>
      <c r="F14" s="216">
        <v>-2671.8450489100005</v>
      </c>
      <c r="G14" s="82">
        <v>-2664.3219510799995</v>
      </c>
      <c r="H14" s="69">
        <v>-2481.8319998999996</v>
      </c>
    </row>
    <row r="15" spans="1:8" ht="13.5" customHeight="1">
      <c r="A15" s="141" t="str">
        <f>HLOOKUP(INDICE!$F$2,Nombres!$C$3:$E$853,47)</f>
        <v xml:space="preserve">  Personnel expenses</v>
      </c>
      <c r="B15" s="204">
        <v>-1647.45299598</v>
      </c>
      <c r="C15" s="82">
        <v>-1676.5420041899999</v>
      </c>
      <c r="D15" s="82">
        <v>-1607.1990002299999</v>
      </c>
      <c r="E15" s="205">
        <v>-1640.2790021800004</v>
      </c>
      <c r="F15" s="216">
        <v>-1565.5406679000002</v>
      </c>
      <c r="G15" s="82">
        <v>-1559.7663320699999</v>
      </c>
      <c r="H15" s="69">
        <v>-1438.07499998</v>
      </c>
    </row>
    <row r="16" spans="1:8" ht="12.75" customHeight="1">
      <c r="A16" s="141" t="str">
        <f>HLOOKUP(INDICE!$F$2,Nombres!$C$3:$E$853,48)</f>
        <v xml:space="preserve">  General and administrative expenses</v>
      </c>
      <c r="B16" s="204">
        <v>-1135.9350071699998</v>
      </c>
      <c r="C16" s="82">
        <v>-1139.2699952500002</v>
      </c>
      <c r="D16" s="82">
        <v>-1122.9859993999999</v>
      </c>
      <c r="E16" s="205">
        <v>-1142.7379788699998</v>
      </c>
      <c r="F16" s="216">
        <v>-1106.3043810099998</v>
      </c>
      <c r="G16" s="82">
        <v>-1104.5556190099999</v>
      </c>
      <c r="H16" s="69">
        <v>-1043.75699992</v>
      </c>
    </row>
    <row r="17" spans="1:8" ht="13.5" customHeight="1">
      <c r="A17" s="125" t="str">
        <f>HLOOKUP(INDICE!$F$2,Nombres!$C$3:$E$853,49)</f>
        <v xml:space="preserve">  Depreciation</v>
      </c>
      <c r="B17" s="204">
        <v>-353.53699633999997</v>
      </c>
      <c r="C17" s="82">
        <v>-358.71100634999993</v>
      </c>
      <c r="D17" s="82">
        <v>-344.37999951999996</v>
      </c>
      <c r="E17" s="205">
        <v>-330.82599831000005</v>
      </c>
      <c r="F17" s="216">
        <v>-307.23500001999997</v>
      </c>
      <c r="G17" s="82">
        <v>-298.83400001000001</v>
      </c>
      <c r="H17" s="69">
        <v>-297.20899997000004</v>
      </c>
    </row>
    <row r="18" spans="1:8" ht="13.5" customHeight="1">
      <c r="A18" s="139" t="str">
        <f>HLOOKUP(INDICE!$F$2,Nombres!$C$3:$E$853,50)</f>
        <v>Operating income</v>
      </c>
      <c r="B18" s="299">
        <v>3245.6919995500002</v>
      </c>
      <c r="C18" s="78">
        <v>3161.0769877900007</v>
      </c>
      <c r="D18" s="78">
        <v>3114.8240040599985</v>
      </c>
      <c r="E18" s="300">
        <v>3248.079035260002</v>
      </c>
      <c r="F18" s="301">
        <v>3117.35171507</v>
      </c>
      <c r="G18" s="78">
        <v>3014.0752890300005</v>
      </c>
      <c r="H18" s="255">
        <v>2743.4260009899999</v>
      </c>
    </row>
    <row r="19" spans="1:8" ht="12.75" customHeight="1">
      <c r="A19" s="125" t="str">
        <f>HLOOKUP(INDICE!$F$2,Nombres!$C$3:$E$853,51)</f>
        <v>Impaiment on financial assets not measured at fair value through profit or loss</v>
      </c>
      <c r="B19" s="204">
        <v>-944.55199900999992</v>
      </c>
      <c r="C19" s="82">
        <v>-996.64800384000023</v>
      </c>
      <c r="D19" s="82">
        <v>-976.16499681999994</v>
      </c>
      <c r="E19" s="205">
        <v>-1885.3169998000003</v>
      </c>
      <c r="F19" s="216">
        <v>-822.80999997000004</v>
      </c>
      <c r="G19" s="82">
        <v>-788.29500001999986</v>
      </c>
      <c r="H19" s="69">
        <v>-1017.5619999600001</v>
      </c>
    </row>
    <row r="20" spans="1:8" ht="13.5" customHeight="1">
      <c r="A20" s="125" t="str">
        <f>HLOOKUP(INDICE!$F$2,Nombres!$C$3:$E$853,52)</f>
        <v>Provisions</v>
      </c>
      <c r="B20" s="204">
        <v>-170.35400023</v>
      </c>
      <c r="C20" s="82">
        <v>-193.25199979000001</v>
      </c>
      <c r="D20" s="82">
        <v>-200.85599926000003</v>
      </c>
      <c r="E20" s="205">
        <v>-180.06099983000007</v>
      </c>
      <c r="F20" s="216">
        <v>-99.351999989999996</v>
      </c>
      <c r="G20" s="82">
        <v>-85.927999990000046</v>
      </c>
      <c r="H20" s="69">
        <v>-121.36300005000001</v>
      </c>
    </row>
    <row r="21" spans="1:8" ht="13.5" customHeight="1">
      <c r="A21" s="125" t="str">
        <f>HLOOKUP(INDICE!$F$2,Nombres!$C$3:$E$853,53)</f>
        <v>Other gains (losses)</v>
      </c>
      <c r="B21" s="204">
        <v>-66.057001009999993</v>
      </c>
      <c r="C21" s="82">
        <v>-2.5019964800000238</v>
      </c>
      <c r="D21" s="82">
        <v>43.703997480000005</v>
      </c>
      <c r="E21" s="205">
        <v>-266.65099848999989</v>
      </c>
      <c r="F21" s="216">
        <v>41.497000009999979</v>
      </c>
      <c r="G21" s="82">
        <v>66.827999980000016</v>
      </c>
      <c r="H21" s="69">
        <v>-35.675999990000015</v>
      </c>
    </row>
    <row r="22" spans="1:8" ht="12" customHeight="1">
      <c r="A22" s="139" t="str">
        <f>HLOOKUP(INDICE!$F$2,Nombres!$C$3:$E$853,54)</f>
        <v>Profit/(loss) before tax</v>
      </c>
      <c r="B22" s="299">
        <v>2064.7289993000004</v>
      </c>
      <c r="C22" s="78">
        <v>1968.6749876800004</v>
      </c>
      <c r="D22" s="78">
        <v>1981.5070054599987</v>
      </c>
      <c r="E22" s="300">
        <v>916.05003714000168</v>
      </c>
      <c r="F22" s="301">
        <v>2236.6867151199999</v>
      </c>
      <c r="G22" s="78">
        <v>2206.6802890000004</v>
      </c>
      <c r="H22" s="255">
        <v>1568.8250009899998</v>
      </c>
    </row>
    <row r="23" spans="1:8" ht="14.25" customHeight="1">
      <c r="A23" s="125" t="str">
        <f>HLOOKUP(INDICE!$F$2,Nombres!$C$3:$E$853,55)</f>
        <v>Income tax</v>
      </c>
      <c r="B23" s="204">
        <v>-573.21999772000015</v>
      </c>
      <c r="C23" s="82">
        <v>-546.49800204999997</v>
      </c>
      <c r="D23" s="82">
        <v>-550.09900171000004</v>
      </c>
      <c r="E23" s="205">
        <v>-499.17599873</v>
      </c>
      <c r="F23" s="216">
        <v>-610.63931396999988</v>
      </c>
      <c r="G23" s="82">
        <v>-602.39968603</v>
      </c>
      <c r="H23" s="69">
        <v>-428.28899999999993</v>
      </c>
    </row>
    <row r="24" spans="1:8" ht="14.25" customHeight="1">
      <c r="A24" s="139" t="str">
        <f>HLOOKUP(INDICE!$F$2,Nombres!$C$3:$E$853,424)</f>
        <v>Result after continuing operation tax</v>
      </c>
      <c r="B24" s="299">
        <v>1491.5090015800001</v>
      </c>
      <c r="C24" s="255">
        <v>1422.1769856300002</v>
      </c>
      <c r="D24" s="255">
        <v>1431.4080037499989</v>
      </c>
      <c r="E24" s="255">
        <v>416.8740384100023</v>
      </c>
      <c r="F24" s="299">
        <v>1626.04740115</v>
      </c>
      <c r="G24" s="255">
        <v>1604.2806029700005</v>
      </c>
      <c r="H24" s="255">
        <v>1140.5360009899998</v>
      </c>
    </row>
    <row r="25" spans="1:8" ht="14.25" customHeight="1">
      <c r="A25" s="125" t="str">
        <f>HLOOKUP(INDICE!$F$2,Nombres!$C$3:$E$853,343)</f>
        <v>Result from corporate operations (*)</v>
      </c>
      <c r="B25" s="228" t="s">
        <v>744</v>
      </c>
      <c r="C25" s="82" t="s">
        <v>744</v>
      </c>
      <c r="D25" s="82" t="s">
        <v>744</v>
      </c>
      <c r="E25" s="82" t="s">
        <v>744</v>
      </c>
      <c r="F25" s="228" t="s">
        <v>744</v>
      </c>
      <c r="G25" s="82" t="s">
        <v>744</v>
      </c>
      <c r="H25" s="82">
        <v>633.30499999999995</v>
      </c>
    </row>
    <row r="26" spans="1:8" ht="14.25" customHeight="1">
      <c r="A26" s="139" t="str">
        <f>HLOOKUP(INDICE!$F$2,Nombres!$C$3:$E$853,56)</f>
        <v>Profit/(loss) for the year</v>
      </c>
      <c r="B26" s="299">
        <v>1491.5090015800001</v>
      </c>
      <c r="C26" s="78">
        <v>1422.1769856300002</v>
      </c>
      <c r="D26" s="78">
        <v>1431.4080037499989</v>
      </c>
      <c r="E26" s="300">
        <v>416.8740384100023</v>
      </c>
      <c r="F26" s="301">
        <v>1626.04740115</v>
      </c>
      <c r="G26" s="78">
        <v>1604.2806029700005</v>
      </c>
      <c r="H26" s="255">
        <v>1773.8410009899999</v>
      </c>
    </row>
    <row r="27" spans="1:8" s="86" customFormat="1" ht="14.25" customHeight="1">
      <c r="A27" s="125" t="str">
        <f>HLOOKUP(INDICE!$F$2,Nombres!$C$3:$E$853,57)</f>
        <v>Non-controlling interests</v>
      </c>
      <c r="B27" s="204">
        <v>-292.53599998999999</v>
      </c>
      <c r="C27" s="82">
        <v>-314.93300004999998</v>
      </c>
      <c r="D27" s="82">
        <v>-288.41099997000003</v>
      </c>
      <c r="E27" s="205">
        <v>-346.94099998999991</v>
      </c>
      <c r="F27" s="216">
        <v>-285.99900001999998</v>
      </c>
      <c r="G27" s="82">
        <v>-295.30399997999996</v>
      </c>
      <c r="H27" s="69">
        <v>-100.30000001000003</v>
      </c>
    </row>
    <row r="28" spans="1:8" ht="14.25" customHeight="1">
      <c r="A28" s="206" t="str">
        <f>HLOOKUP(INDICE!$F$2,Nombres!$C$3:$E$853,58)</f>
        <v>Net attributable profit</v>
      </c>
      <c r="B28" s="302">
        <v>1198.9730015900004</v>
      </c>
      <c r="C28" s="303">
        <v>1107.2439855800003</v>
      </c>
      <c r="D28" s="303">
        <v>1142.9970037799987</v>
      </c>
      <c r="E28" s="304">
        <v>69.933038420002049</v>
      </c>
      <c r="F28" s="305">
        <v>1340.0484011299998</v>
      </c>
      <c r="G28" s="303">
        <v>1308.9766029900002</v>
      </c>
      <c r="H28" s="306">
        <v>1673.5410009799998</v>
      </c>
    </row>
    <row r="29" spans="1:8" ht="14.25" customHeight="1">
      <c r="A29" s="206" t="str">
        <f>HLOOKUP(INDICE!$F$2,Nombres!$C$3:$E$853,317)</f>
        <v xml:space="preserve"> Attributable profit without corporate transactions </v>
      </c>
      <c r="B29" s="302">
        <v>1198.9730015900004</v>
      </c>
      <c r="C29" s="302">
        <v>1107.2439855800003</v>
      </c>
      <c r="D29" s="302">
        <v>1142.9970037799987</v>
      </c>
      <c r="E29" s="302">
        <v>69.933038420002049</v>
      </c>
      <c r="F29" s="302">
        <v>1340.0484011299998</v>
      </c>
      <c r="G29" s="302">
        <v>1308.9766029900002</v>
      </c>
      <c r="H29" s="302">
        <v>1040.23600098</v>
      </c>
    </row>
    <row r="30" spans="1:8" s="86" customFormat="1" ht="28.5" customHeight="1">
      <c r="A30" s="314" t="str">
        <f>HLOOKUP(INDICE!$F$2,Nombres!$C$3:$E$853,426)</f>
        <v>(*) Includes net capital gains from the sale of BBVA Chile.</v>
      </c>
      <c r="B30" s="314" t="str">
        <f>HLOOKUP(INDICE!$F$2,Nombres!$C$3:$E$853,57)</f>
        <v>Non-controlling interests</v>
      </c>
      <c r="C30" s="314" t="str">
        <f>HLOOKUP(INDICE!$F$2,Nombres!$C$3:$E$853,57)</f>
        <v>Non-controlling interests</v>
      </c>
      <c r="D30" s="314" t="str">
        <f>HLOOKUP(INDICE!$F$2,Nombres!$C$3:$E$853,57)</f>
        <v>Non-controlling interests</v>
      </c>
      <c r="E30" s="314" t="str">
        <f>HLOOKUP(INDICE!$F$2,Nombres!$C$3:$E$853,57)</f>
        <v>Non-controlling interests</v>
      </c>
      <c r="F30" s="314" t="str">
        <f>HLOOKUP(INDICE!$F$2,Nombres!$C$3:$E$853,57)</f>
        <v>Non-controlling interests</v>
      </c>
      <c r="G30" s="314" t="str">
        <f>HLOOKUP(INDICE!$F$2,Nombres!$C$3:$E$853,57)</f>
        <v>Non-controlling interests</v>
      </c>
      <c r="H30" s="314" t="str">
        <f>HLOOKUP(INDICE!$F$2,Nombres!$C$3:$E$853,57)</f>
        <v>Non-controlling interests</v>
      </c>
    </row>
    <row r="31" spans="1:8" s="86" customFormat="1" ht="28.5" customHeight="1">
      <c r="A31" s="317"/>
      <c r="B31" s="317"/>
      <c r="C31" s="317"/>
      <c r="D31" s="317"/>
      <c r="E31" s="317"/>
      <c r="F31" s="317"/>
      <c r="G31" s="317"/>
      <c r="H31" s="317"/>
    </row>
    <row r="32" spans="1:8">
      <c r="A32" s="307"/>
      <c r="B32" s="307"/>
      <c r="C32" s="307"/>
      <c r="D32" s="307"/>
      <c r="E32" s="307"/>
      <c r="F32" s="307"/>
      <c r="G32" s="307"/>
      <c r="H32" s="307"/>
    </row>
    <row r="33" spans="1:8">
      <c r="A33" s="307"/>
      <c r="B33" s="307"/>
      <c r="C33" s="307"/>
      <c r="D33" s="307"/>
      <c r="E33" s="307"/>
      <c r="F33" s="307"/>
      <c r="G33" s="307"/>
      <c r="H33" s="307"/>
    </row>
    <row r="34" spans="1:8">
      <c r="A34" s="307"/>
      <c r="B34" s="307"/>
      <c r="C34" s="307"/>
      <c r="D34" s="307"/>
      <c r="E34" s="307"/>
      <c r="F34" s="307"/>
      <c r="G34" s="307"/>
      <c r="H34" s="307"/>
    </row>
    <row r="35" spans="1:8" s="309" customFormat="1" ht="17.25" customHeight="1">
      <c r="A35" s="65" t="str">
        <f>HLOOKUP(INDICE!$F$2,Nombres!$C$3:$E$853,340)</f>
        <v xml:space="preserve">BBVA Group. Consolidated Income statement </v>
      </c>
      <c r="B35" s="298"/>
      <c r="C35" s="308"/>
      <c r="D35" s="308"/>
      <c r="E35" s="308"/>
      <c r="F35" s="308"/>
      <c r="G35" s="308"/>
      <c r="H35" s="308"/>
    </row>
    <row r="36" spans="1:8" ht="13.5" customHeight="1">
      <c r="A36" s="68" t="str">
        <f>HLOOKUP(INDICE!$F$2,Nombres!$C$3:$E$853,31)</f>
        <v xml:space="preserve">(Constant million euros)    </v>
      </c>
      <c r="B36" s="310"/>
      <c r="C36" s="310"/>
      <c r="D36" s="310"/>
      <c r="E36" s="310"/>
      <c r="F36" s="310"/>
      <c r="G36" s="310"/>
      <c r="H36" s="310"/>
    </row>
    <row r="37" spans="1:8" ht="13.5" customHeight="1">
      <c r="A37" s="201"/>
      <c r="B37" s="310"/>
      <c r="C37" s="310"/>
      <c r="D37" s="310"/>
      <c r="E37" s="310"/>
      <c r="F37" s="310"/>
      <c r="G37" s="310"/>
      <c r="H37" s="310"/>
    </row>
    <row r="38" spans="1:8" ht="15.75">
      <c r="A38" s="73"/>
      <c r="B38" s="315">
        <v>2017</v>
      </c>
      <c r="C38" s="316"/>
      <c r="D38" s="316"/>
      <c r="E38" s="316"/>
      <c r="F38" s="315">
        <v>2018</v>
      </c>
      <c r="G38" s="316"/>
      <c r="H38" s="316"/>
    </row>
    <row r="39" spans="1:8" ht="15.75">
      <c r="A39" s="73"/>
      <c r="B39" s="93" t="str">
        <f>HLOOKUP(INDICE!$F$2,Nombres!$C$3:$E$857,34)</f>
        <v>1Q</v>
      </c>
      <c r="C39" s="93" t="str">
        <f>HLOOKUP(INDICE!$F$2,Nombres!$C$3:$E$857,35)</f>
        <v>2Q</v>
      </c>
      <c r="D39" s="93" t="str">
        <f>HLOOKUP(INDICE!$F$2,Nombres!$C$3:$E$857,36)</f>
        <v>3Q</v>
      </c>
      <c r="E39" s="93" t="str">
        <f>HLOOKUP(INDICE!$F$2,Nombres!$C$3:$E$857,37)</f>
        <v>4Q</v>
      </c>
      <c r="F39" s="93" t="str">
        <f>HLOOKUP(INDICE!$F$2,Nombres!$C$3:$E$857,34)</f>
        <v>1Q</v>
      </c>
      <c r="G39" s="93" t="str">
        <f>HLOOKUP(INDICE!$F$2,Nombres!$C$3:$E$857,35)</f>
        <v>2Q</v>
      </c>
      <c r="H39" s="93" t="str">
        <f>HLOOKUP(INDICE!$F$2,Nombres!$C$3:$E$857,36)</f>
        <v>3Q</v>
      </c>
    </row>
    <row r="40" spans="1:8">
      <c r="A40" s="139" t="str">
        <f>HLOOKUP(INDICE!$F$2,Nombres!$C$3:$E$853,38)</f>
        <v>Net interest income</v>
      </c>
      <c r="B40" s="299">
        <v>3801.1176836143691</v>
      </c>
      <c r="C40" s="78">
        <v>3917.2841558682408</v>
      </c>
      <c r="D40" s="78">
        <v>3982.7303285497514</v>
      </c>
      <c r="E40" s="78">
        <v>4228.6673346478483</v>
      </c>
      <c r="F40" s="299">
        <v>4129.7152942479606</v>
      </c>
      <c r="G40" s="78">
        <v>4256.3000806328509</v>
      </c>
      <c r="H40" s="78">
        <v>4513.278630099192</v>
      </c>
    </row>
    <row r="41" spans="1:8">
      <c r="A41" s="125" t="str">
        <f>HLOOKUP(INDICE!$F$2,Nombres!$C$3:$E$853,39)</f>
        <v>Net fees and commissions</v>
      </c>
      <c r="B41" s="204">
        <v>1097.8210070855375</v>
      </c>
      <c r="C41" s="82">
        <v>1096.9038914478399</v>
      </c>
      <c r="D41" s="82">
        <v>1143.8596359145054</v>
      </c>
      <c r="E41" s="82">
        <v>1149.0375330299685</v>
      </c>
      <c r="F41" s="204">
        <v>1194.9014202028809</v>
      </c>
      <c r="G41" s="82">
        <v>1236.2837942438166</v>
      </c>
      <c r="H41" s="82">
        <v>1222.1607855733032</v>
      </c>
    </row>
    <row r="42" spans="1:8">
      <c r="A42" s="125" t="str">
        <f>HLOOKUP(INDICE!$F$2,Nombres!$C$3:$E$853,40)</f>
        <v>Net trading income</v>
      </c>
      <c r="B42" s="204">
        <v>661.76191138830268</v>
      </c>
      <c r="C42" s="82">
        <v>338.57171385883305</v>
      </c>
      <c r="D42" s="82">
        <v>318.68664734524259</v>
      </c>
      <c r="E42" s="82">
        <v>528.29877974756118</v>
      </c>
      <c r="F42" s="204">
        <v>390.94896449129783</v>
      </c>
      <c r="G42" s="82">
        <v>284.32689527780741</v>
      </c>
      <c r="H42" s="82">
        <v>232.05314022089499</v>
      </c>
    </row>
    <row r="43" spans="1:8">
      <c r="A43" s="125" t="str">
        <f>HLOOKUP(INDICE!$F$2,Nombres!$C$3:$E$853,41)</f>
        <v>Dividend income</v>
      </c>
      <c r="B43" s="204">
        <v>42.270203719845469</v>
      </c>
      <c r="C43" s="82">
        <v>163.73839775092489</v>
      </c>
      <c r="D43" s="82">
        <v>34.587923403801966</v>
      </c>
      <c r="E43" s="82">
        <v>86.419569376172319</v>
      </c>
      <c r="F43" s="204">
        <v>11.715852515472731</v>
      </c>
      <c r="G43" s="82">
        <v>70.956497049354866</v>
      </c>
      <c r="H43" s="82">
        <v>12.044650435172429</v>
      </c>
    </row>
    <row r="44" spans="1:8">
      <c r="A44" s="125" t="str">
        <f>HLOOKUP(INDICE!$F$2,Nombres!$C$3:$E$853,42)</f>
        <v>Share of profit or loss of entities accounted for using the equity method</v>
      </c>
      <c r="B44" s="204">
        <v>-5.9366727769474092</v>
      </c>
      <c r="C44" s="82">
        <v>-3.7360693374842286</v>
      </c>
      <c r="D44" s="82">
        <v>5.3520564793756504</v>
      </c>
      <c r="E44" s="82">
        <v>3.85281475894765</v>
      </c>
      <c r="F44" s="204">
        <v>6.6883224314770224</v>
      </c>
      <c r="G44" s="82">
        <v>4.6753942927147252</v>
      </c>
      <c r="H44" s="82">
        <v>-4.2716724191745215E-2</v>
      </c>
    </row>
    <row r="45" spans="1:8">
      <c r="A45" s="125" t="str">
        <f>HLOOKUP(INDICE!$F$2,Nombres!$C$3:$E$853,43)</f>
        <v>Other operating income and expenses</v>
      </c>
      <c r="B45" s="204">
        <v>92.468102516550672</v>
      </c>
      <c r="C45" s="82">
        <v>56.690192212687172</v>
      </c>
      <c r="D45" s="82">
        <v>133.10837246388286</v>
      </c>
      <c r="E45" s="82">
        <v>-64.292588589899268</v>
      </c>
      <c r="F45" s="204">
        <v>133.72922700730982</v>
      </c>
      <c r="G45" s="82">
        <v>-14.2922469986745</v>
      </c>
      <c r="H45" s="82">
        <v>-89.313980018635249</v>
      </c>
    </row>
    <row r="46" spans="1:8">
      <c r="A46" s="139" t="str">
        <f>HLOOKUP(INDICE!$F$2,Nombres!$C$3:$E$853,44)</f>
        <v>Gross income</v>
      </c>
      <c r="B46" s="299">
        <v>5689.5022355476576</v>
      </c>
      <c r="C46" s="78">
        <v>5569.4522818010419</v>
      </c>
      <c r="D46" s="78">
        <v>5618.3249641565608</v>
      </c>
      <c r="E46" s="78">
        <v>5931.9834429705988</v>
      </c>
      <c r="F46" s="299">
        <v>5867.6990808963983</v>
      </c>
      <c r="G46" s="78">
        <v>5838.2504144978702</v>
      </c>
      <c r="H46" s="78">
        <v>5890.1805095857326</v>
      </c>
    </row>
    <row r="47" spans="1:8">
      <c r="A47" s="125" t="str">
        <f>HLOOKUP(INDICE!$F$2,Nombres!$C$3:$E$853,45)</f>
        <v>Operating expenses</v>
      </c>
      <c r="B47" s="204">
        <v>-2803.5300984661858</v>
      </c>
      <c r="C47" s="82">
        <v>-2840.040644036937</v>
      </c>
      <c r="D47" s="82">
        <v>-2846.1537960366163</v>
      </c>
      <c r="E47" s="82">
        <v>-2934.194954972395</v>
      </c>
      <c r="F47" s="204">
        <v>-2878.3704654196772</v>
      </c>
      <c r="G47" s="82">
        <v>-2902.7769735802094</v>
      </c>
      <c r="H47" s="82">
        <v>-2940.1295608901137</v>
      </c>
    </row>
    <row r="48" spans="1:8">
      <c r="A48" s="125" t="str">
        <f>HLOOKUP(INDICE!$F$2,Nombres!$C$3:$E$853,46)</f>
        <v xml:space="preserve">  Administration expenses</v>
      </c>
      <c r="B48" s="204">
        <v>-2477.9435465907654</v>
      </c>
      <c r="C48" s="82">
        <v>-2512.0478715442987</v>
      </c>
      <c r="D48" s="82">
        <v>-2523.7219822762972</v>
      </c>
      <c r="E48" s="82">
        <v>-2617.2023323698459</v>
      </c>
      <c r="F48" s="204">
        <v>-2578.2177163976876</v>
      </c>
      <c r="G48" s="82">
        <v>-2607.4097605994452</v>
      </c>
      <c r="H48" s="82">
        <v>-2632.3715228928677</v>
      </c>
    </row>
    <row r="49" spans="1:10">
      <c r="A49" s="141" t="str">
        <f>HLOOKUP(INDICE!$F$2,Nombres!$C$3:$E$853,47)</f>
        <v xml:space="preserve">  Personnel expenses</v>
      </c>
      <c r="B49" s="204">
        <v>-1470.9791052627984</v>
      </c>
      <c r="C49" s="82">
        <v>-1501.8792239693698</v>
      </c>
      <c r="D49" s="82">
        <v>-1488.9878452770965</v>
      </c>
      <c r="E49" s="82">
        <v>-1543.3283772332188</v>
      </c>
      <c r="F49" s="204">
        <v>-1512.922082023257</v>
      </c>
      <c r="G49" s="82">
        <v>-1526.1548254659865</v>
      </c>
      <c r="H49" s="82">
        <v>-1524.3050924607569</v>
      </c>
    </row>
    <row r="50" spans="1:10">
      <c r="A50" s="141" t="str">
        <f>HLOOKUP(INDICE!$F$2,Nombres!$C$3:$E$853,48)</f>
        <v xml:space="preserve">  General and administrative expenses</v>
      </c>
      <c r="B50" s="204">
        <v>-1006.9644413279671</v>
      </c>
      <c r="C50" s="82">
        <v>-1010.1686475749284</v>
      </c>
      <c r="D50" s="82">
        <v>-1034.7341369992005</v>
      </c>
      <c r="E50" s="82">
        <v>-1073.8739551366277</v>
      </c>
      <c r="F50" s="204">
        <v>-1065.2956343744304</v>
      </c>
      <c r="G50" s="82">
        <v>-1081.2549351334585</v>
      </c>
      <c r="H50" s="82">
        <v>-1108.0664304321103</v>
      </c>
    </row>
    <row r="51" spans="1:10" ht="13.5" customHeight="1">
      <c r="A51" s="125" t="str">
        <f>HLOOKUP(INDICE!$F$2,Nombres!$C$3:$E$853,49)</f>
        <v xml:space="preserve">  Depreciation</v>
      </c>
      <c r="B51" s="204">
        <v>-325.58655187542047</v>
      </c>
      <c r="C51" s="82">
        <v>-327.99277249263878</v>
      </c>
      <c r="D51" s="82">
        <v>-322.43181376031941</v>
      </c>
      <c r="E51" s="82">
        <v>-316.99262260254886</v>
      </c>
      <c r="F51" s="204">
        <v>-300.15274902198968</v>
      </c>
      <c r="G51" s="82">
        <v>-295.36721298076407</v>
      </c>
      <c r="H51" s="82">
        <v>-307.75803799724633</v>
      </c>
    </row>
    <row r="52" spans="1:10">
      <c r="A52" s="139" t="str">
        <f>HLOOKUP(INDICE!$F$2,Nombres!$C$3:$E$853,50)</f>
        <v>Operating income</v>
      </c>
      <c r="B52" s="299">
        <v>2885.9721370814714</v>
      </c>
      <c r="C52" s="78">
        <v>2729.4116377641049</v>
      </c>
      <c r="D52" s="78">
        <v>2772.171168119944</v>
      </c>
      <c r="E52" s="78">
        <v>2997.7884879982039</v>
      </c>
      <c r="F52" s="299">
        <v>2989.3286154767216</v>
      </c>
      <c r="G52" s="78">
        <v>2935.4734409176608</v>
      </c>
      <c r="H52" s="78">
        <v>2950.0509486956198</v>
      </c>
    </row>
    <row r="53" spans="1:10">
      <c r="A53" s="125" t="str">
        <f>HLOOKUP(INDICE!$F$2,Nombres!$C$3:$E$853,51)</f>
        <v>Impaiment on financial assets not measured at fair value through profit or loss</v>
      </c>
      <c r="B53" s="204">
        <v>-856.23921073204428</v>
      </c>
      <c r="C53" s="82">
        <v>-900.58345068683366</v>
      </c>
      <c r="D53" s="82">
        <v>-904.00976028507216</v>
      </c>
      <c r="E53" s="82">
        <v>-1871.8758271530151</v>
      </c>
      <c r="F53" s="204">
        <v>-800.63033424765808</v>
      </c>
      <c r="G53" s="82">
        <v>-774.67091654783985</v>
      </c>
      <c r="H53" s="82">
        <v>-1053.3657491545023</v>
      </c>
    </row>
    <row r="54" spans="1:10" ht="12.75" customHeight="1">
      <c r="A54" s="125" t="str">
        <f>HLOOKUP(INDICE!$F$2,Nombres!$C$3:$E$853,52)</f>
        <v>Provisions</v>
      </c>
      <c r="B54" s="204">
        <v>-170.09129812543367</v>
      </c>
      <c r="C54" s="82">
        <v>-186.06799047405207</v>
      </c>
      <c r="D54" s="82">
        <v>-183.20038377681581</v>
      </c>
      <c r="E54" s="82">
        <v>-165.47856506788472</v>
      </c>
      <c r="F54" s="204">
        <v>-95.04569816752678</v>
      </c>
      <c r="G54" s="82">
        <v>-83.764508375261158</v>
      </c>
      <c r="H54" s="82">
        <v>-127.83279348721206</v>
      </c>
    </row>
    <row r="55" spans="1:10" ht="15" customHeight="1">
      <c r="A55" s="125" t="str">
        <f>HLOOKUP(INDICE!$F$2,Nombres!$C$3:$E$853,53)</f>
        <v>Other gains (losses)</v>
      </c>
      <c r="B55" s="204">
        <v>-67.01958186694533</v>
      </c>
      <c r="C55" s="82">
        <v>-3.704032274160511</v>
      </c>
      <c r="D55" s="82">
        <v>41.09767549200086</v>
      </c>
      <c r="E55" s="82">
        <v>-268.22259822513479</v>
      </c>
      <c r="F55" s="204">
        <v>37.24762634109922</v>
      </c>
      <c r="G55" s="82">
        <v>69.023296320291479</v>
      </c>
      <c r="H55" s="82">
        <v>-33.621922661390698</v>
      </c>
    </row>
    <row r="56" spans="1:10" ht="13.5" customHeight="1">
      <c r="A56" s="139" t="str">
        <f>HLOOKUP(INDICE!$F$2,Nombres!$C$3:$E$853,54)</f>
        <v>Profit/(loss) before tax</v>
      </c>
      <c r="B56" s="299">
        <v>1792.622046357048</v>
      </c>
      <c r="C56" s="78">
        <v>1639.0561643290584</v>
      </c>
      <c r="D56" s="78">
        <v>1726.0586995500566</v>
      </c>
      <c r="E56" s="78">
        <v>692.21149755216879</v>
      </c>
      <c r="F56" s="299">
        <v>2130.9002094026364</v>
      </c>
      <c r="G56" s="78">
        <v>2146.061312314851</v>
      </c>
      <c r="H56" s="78">
        <v>1735.2304833925136</v>
      </c>
    </row>
    <row r="57" spans="1:10" ht="12.75" customHeight="1">
      <c r="A57" s="125" t="str">
        <f>HLOOKUP(INDICE!$F$2,Nombres!$C$3:$E$853,55)</f>
        <v>Income tax</v>
      </c>
      <c r="B57" s="204">
        <v>-502.90666579621563</v>
      </c>
      <c r="C57" s="82">
        <v>-469.68007520969377</v>
      </c>
      <c r="D57" s="82">
        <v>-482.95987937387315</v>
      </c>
      <c r="E57" s="82">
        <v>-437.56088062915637</v>
      </c>
      <c r="F57" s="204">
        <v>-584.73974858585279</v>
      </c>
      <c r="G57" s="82">
        <v>-585.26480500795333</v>
      </c>
      <c r="H57" s="82">
        <v>-471.32344640619385</v>
      </c>
    </row>
    <row r="58" spans="1:10" ht="12.75" customHeight="1">
      <c r="A58" s="139" t="str">
        <f>HLOOKUP(INDICE!$F$2,Nombres!$C$3:$E$853,424)</f>
        <v>Result after continuing operation tax</v>
      </c>
      <c r="B58" s="299">
        <v>1289.7153805608327</v>
      </c>
      <c r="C58" s="255">
        <v>1169.3760891193647</v>
      </c>
      <c r="D58" s="255">
        <v>1243.0988201761838</v>
      </c>
      <c r="E58" s="255">
        <v>254.65061692301276</v>
      </c>
      <c r="F58" s="299">
        <v>1546.1604608167831</v>
      </c>
      <c r="G58" s="255">
        <v>1560.7965073068979</v>
      </c>
      <c r="H58" s="255">
        <v>1263.9070369863198</v>
      </c>
    </row>
    <row r="59" spans="1:10" ht="12.75" customHeight="1">
      <c r="A59" s="125" t="str">
        <f>HLOOKUP(INDICE!$F$2,Nombres!$C$3:$E$853,343)</f>
        <v>Result from corporate operations (*)</v>
      </c>
      <c r="B59" s="228" t="s">
        <v>744</v>
      </c>
      <c r="C59" s="82" t="s">
        <v>744</v>
      </c>
      <c r="D59" s="82" t="s">
        <v>744</v>
      </c>
      <c r="E59" s="82" t="s">
        <v>744</v>
      </c>
      <c r="F59" s="228" t="s">
        <v>744</v>
      </c>
      <c r="G59" s="82" t="s">
        <v>744</v>
      </c>
      <c r="H59" s="82">
        <v>633.30499999999995</v>
      </c>
    </row>
    <row r="60" spans="1:10">
      <c r="A60" s="139" t="str">
        <f>HLOOKUP(INDICE!$F$2,Nombres!$C$3:$E$853,56)</f>
        <v>Profit/(loss) for the year</v>
      </c>
      <c r="B60" s="299">
        <v>1289.7153805608327</v>
      </c>
      <c r="C60" s="78">
        <v>1169.3760891193647</v>
      </c>
      <c r="D60" s="78">
        <v>1243.0988201761838</v>
      </c>
      <c r="E60" s="78">
        <v>254.65061692301276</v>
      </c>
      <c r="F60" s="299">
        <v>1546.1604608167831</v>
      </c>
      <c r="G60" s="78">
        <v>1560.7965073068979</v>
      </c>
      <c r="H60" s="78">
        <v>1897.2120369863201</v>
      </c>
    </row>
    <row r="61" spans="1:10" s="86" customFormat="1">
      <c r="A61" s="125" t="str">
        <f>HLOOKUP(INDICE!$F$2,Nombres!$C$3:$E$853,57)</f>
        <v>Non-controlling interests</v>
      </c>
      <c r="B61" s="204">
        <v>-216.92492154618796</v>
      </c>
      <c r="C61" s="82">
        <v>-237.5110391562971</v>
      </c>
      <c r="D61" s="82">
        <v>-224.42468253869663</v>
      </c>
      <c r="E61" s="82">
        <v>-279.15958396725216</v>
      </c>
      <c r="F61" s="204">
        <v>-245.32814491502839</v>
      </c>
      <c r="G61" s="82">
        <v>-275.64874672872264</v>
      </c>
      <c r="H61" s="82">
        <v>-160.62610836624901</v>
      </c>
    </row>
    <row r="62" spans="1:10">
      <c r="A62" s="206" t="str">
        <f>HLOOKUP(INDICE!$F$2,Nombres!$C$3:$E$853,58)</f>
        <v>Net attributable profit</v>
      </c>
      <c r="B62" s="302">
        <v>1072.7904590146445</v>
      </c>
      <c r="C62" s="302">
        <v>931.86504996306758</v>
      </c>
      <c r="D62" s="302">
        <v>1018.674137637487</v>
      </c>
      <c r="E62" s="302">
        <v>-24.508967044239284</v>
      </c>
      <c r="F62" s="302">
        <v>1300.832315901755</v>
      </c>
      <c r="G62" s="302">
        <v>1285.1477605781752</v>
      </c>
      <c r="H62" s="302">
        <v>1736.5859286200703</v>
      </c>
    </row>
    <row r="63" spans="1:10" ht="28.5" customHeight="1">
      <c r="A63" s="206" t="str">
        <f>HLOOKUP(INDICE!$F$2,Nombres!$C$3:$E$853,317)</f>
        <v xml:space="preserve"> Attributable profit without corporate transactions </v>
      </c>
      <c r="B63" s="302">
        <v>1072.7904590146445</v>
      </c>
      <c r="C63" s="302">
        <v>931.86504996306758</v>
      </c>
      <c r="D63" s="302">
        <v>1018.674137637487</v>
      </c>
      <c r="E63" s="302">
        <v>-24.508967044239284</v>
      </c>
      <c r="F63" s="302">
        <v>1300.832315901755</v>
      </c>
      <c r="G63" s="302">
        <v>1285.1477605781752</v>
      </c>
      <c r="H63" s="302">
        <v>1103.2809286200704</v>
      </c>
      <c r="J63" s="129"/>
    </row>
    <row r="64" spans="1:10" ht="28.5" customHeight="1">
      <c r="A64" s="314" t="str">
        <f>HLOOKUP(INDICE!$F$2,Nombres!$C$3:$E$853,426)</f>
        <v>(*) Includes net capital gains from the sale of BBVA Chile.</v>
      </c>
      <c r="B64" s="314" t="str">
        <f>HLOOKUP(INDICE!$F$2,Nombres!$C$3:$E$853,57)</f>
        <v>Non-controlling interests</v>
      </c>
      <c r="C64" s="314" t="str">
        <f>HLOOKUP(INDICE!$F$2,Nombres!$C$3:$E$853,57)</f>
        <v>Non-controlling interests</v>
      </c>
      <c r="D64" s="314" t="str">
        <f>HLOOKUP(INDICE!$F$2,Nombres!$C$3:$E$853,57)</f>
        <v>Non-controlling interests</v>
      </c>
      <c r="E64" s="314" t="str">
        <f>HLOOKUP(INDICE!$F$2,Nombres!$C$3:$E$853,57)</f>
        <v>Non-controlling interests</v>
      </c>
      <c r="F64" s="314" t="str">
        <f>HLOOKUP(INDICE!$F$2,Nombres!$C$3:$E$853,57)</f>
        <v>Non-controlling interests</v>
      </c>
      <c r="G64" s="314" t="str">
        <f>HLOOKUP(INDICE!$F$2,Nombres!$C$3:$E$853,57)</f>
        <v>Non-controlling interests</v>
      </c>
      <c r="H64" s="314" t="str">
        <f>HLOOKUP(INDICE!$F$2,Nombres!$C$3:$E$853,57)</f>
        <v>Non-controlling interests</v>
      </c>
    </row>
    <row r="65" spans="1:8">
      <c r="A65" s="307"/>
      <c r="B65" s="307"/>
      <c r="C65" s="307"/>
      <c r="D65" s="307"/>
      <c r="E65" s="307"/>
      <c r="F65" s="307"/>
      <c r="G65" s="307"/>
      <c r="H65" s="307"/>
    </row>
    <row r="66" spans="1:8">
      <c r="A66" s="307"/>
      <c r="B66" s="72"/>
      <c r="C66" s="72"/>
      <c r="D66" s="84"/>
      <c r="E66" s="312"/>
      <c r="F66" s="72"/>
      <c r="G66" s="72"/>
      <c r="H66" s="72"/>
    </row>
  </sheetData>
  <mergeCells count="7">
    <mergeCell ref="A64:H64"/>
    <mergeCell ref="B4:E4"/>
    <mergeCell ref="F4:H4"/>
    <mergeCell ref="B38:E38"/>
    <mergeCell ref="F38:H38"/>
    <mergeCell ref="A30:H30"/>
    <mergeCell ref="A31:H3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zoomScale="85" zoomScaleNormal="85" workbookViewId="0"/>
  </sheetViews>
  <sheetFormatPr baseColWidth="10" defaultColWidth="12.5703125" defaultRowHeight="12.75"/>
  <cols>
    <col min="1" max="1" width="23.7109375" style="109" customWidth="1"/>
    <col min="2" max="8" width="12.7109375" style="109" customWidth="1"/>
    <col min="9" max="255" width="12.5703125" style="109"/>
    <col min="256" max="256" width="23.7109375" style="109" customWidth="1"/>
    <col min="257" max="264" width="12.7109375" style="109" customWidth="1"/>
    <col min="265" max="511" width="12.5703125" style="109"/>
    <col min="512" max="512" width="23.7109375" style="109" customWidth="1"/>
    <col min="513" max="520" width="12.7109375" style="109" customWidth="1"/>
    <col min="521" max="767" width="12.5703125" style="109"/>
    <col min="768" max="768" width="23.7109375" style="109" customWidth="1"/>
    <col min="769" max="776" width="12.7109375" style="109" customWidth="1"/>
    <col min="777" max="1023" width="12.5703125" style="109"/>
    <col min="1024" max="1024" width="23.7109375" style="109" customWidth="1"/>
    <col min="1025" max="1032" width="12.7109375" style="109" customWidth="1"/>
    <col min="1033" max="1279" width="12.5703125" style="109"/>
    <col min="1280" max="1280" width="23.7109375" style="109" customWidth="1"/>
    <col min="1281" max="1288" width="12.7109375" style="109" customWidth="1"/>
    <col min="1289" max="1535" width="12.5703125" style="109"/>
    <col min="1536" max="1536" width="23.7109375" style="109" customWidth="1"/>
    <col min="1537" max="1544" width="12.7109375" style="109" customWidth="1"/>
    <col min="1545" max="1791" width="12.5703125" style="109"/>
    <col min="1792" max="1792" width="23.7109375" style="109" customWidth="1"/>
    <col min="1793" max="1800" width="12.7109375" style="109" customWidth="1"/>
    <col min="1801" max="2047" width="12.5703125" style="109"/>
    <col min="2048" max="2048" width="23.7109375" style="109" customWidth="1"/>
    <col min="2049" max="2056" width="12.7109375" style="109" customWidth="1"/>
    <col min="2057" max="2303" width="12.5703125" style="109"/>
    <col min="2304" max="2304" width="23.7109375" style="109" customWidth="1"/>
    <col min="2305" max="2312" width="12.7109375" style="109" customWidth="1"/>
    <col min="2313" max="2559" width="12.5703125" style="109"/>
    <col min="2560" max="2560" width="23.7109375" style="109" customWidth="1"/>
    <col min="2561" max="2568" width="12.7109375" style="109" customWidth="1"/>
    <col min="2569" max="2815" width="12.5703125" style="109"/>
    <col min="2816" max="2816" width="23.7109375" style="109" customWidth="1"/>
    <col min="2817" max="2824" width="12.7109375" style="109" customWidth="1"/>
    <col min="2825" max="3071" width="12.5703125" style="109"/>
    <col min="3072" max="3072" width="23.7109375" style="109" customWidth="1"/>
    <col min="3073" max="3080" width="12.7109375" style="109" customWidth="1"/>
    <col min="3081" max="3327" width="12.5703125" style="109"/>
    <col min="3328" max="3328" width="23.7109375" style="109" customWidth="1"/>
    <col min="3329" max="3336" width="12.7109375" style="109" customWidth="1"/>
    <col min="3337" max="3583" width="12.5703125" style="109"/>
    <col min="3584" max="3584" width="23.7109375" style="109" customWidth="1"/>
    <col min="3585" max="3592" width="12.7109375" style="109" customWidth="1"/>
    <col min="3593" max="3839" width="12.5703125" style="109"/>
    <col min="3840" max="3840" width="23.7109375" style="109" customWidth="1"/>
    <col min="3841" max="3848" width="12.7109375" style="109" customWidth="1"/>
    <col min="3849" max="4095" width="12.5703125" style="109"/>
    <col min="4096" max="4096" width="23.7109375" style="109" customWidth="1"/>
    <col min="4097" max="4104" width="12.7109375" style="109" customWidth="1"/>
    <col min="4105" max="4351" width="12.5703125" style="109"/>
    <col min="4352" max="4352" width="23.7109375" style="109" customWidth="1"/>
    <col min="4353" max="4360" width="12.7109375" style="109" customWidth="1"/>
    <col min="4361" max="4607" width="12.5703125" style="109"/>
    <col min="4608" max="4608" width="23.7109375" style="109" customWidth="1"/>
    <col min="4609" max="4616" width="12.7109375" style="109" customWidth="1"/>
    <col min="4617" max="4863" width="12.5703125" style="109"/>
    <col min="4864" max="4864" width="23.7109375" style="109" customWidth="1"/>
    <col min="4865" max="4872" width="12.7109375" style="109" customWidth="1"/>
    <col min="4873" max="5119" width="12.5703125" style="109"/>
    <col min="5120" max="5120" width="23.7109375" style="109" customWidth="1"/>
    <col min="5121" max="5128" width="12.7109375" style="109" customWidth="1"/>
    <col min="5129" max="5375" width="12.5703125" style="109"/>
    <col min="5376" max="5376" width="23.7109375" style="109" customWidth="1"/>
    <col min="5377" max="5384" width="12.7109375" style="109" customWidth="1"/>
    <col min="5385" max="5631" width="12.5703125" style="109"/>
    <col min="5632" max="5632" width="23.7109375" style="109" customWidth="1"/>
    <col min="5633" max="5640" width="12.7109375" style="109" customWidth="1"/>
    <col min="5641" max="5887" width="12.5703125" style="109"/>
    <col min="5888" max="5888" width="23.7109375" style="109" customWidth="1"/>
    <col min="5889" max="5896" width="12.7109375" style="109" customWidth="1"/>
    <col min="5897" max="6143" width="12.5703125" style="109"/>
    <col min="6144" max="6144" width="23.7109375" style="109" customWidth="1"/>
    <col min="6145" max="6152" width="12.7109375" style="109" customWidth="1"/>
    <col min="6153" max="6399" width="12.5703125" style="109"/>
    <col min="6400" max="6400" width="23.7109375" style="109" customWidth="1"/>
    <col min="6401" max="6408" width="12.7109375" style="109" customWidth="1"/>
    <col min="6409" max="6655" width="12.5703125" style="109"/>
    <col min="6656" max="6656" width="23.7109375" style="109" customWidth="1"/>
    <col min="6657" max="6664" width="12.7109375" style="109" customWidth="1"/>
    <col min="6665" max="6911" width="12.5703125" style="109"/>
    <col min="6912" max="6912" width="23.7109375" style="109" customWidth="1"/>
    <col min="6913" max="6920" width="12.7109375" style="109" customWidth="1"/>
    <col min="6921" max="7167" width="12.5703125" style="109"/>
    <col min="7168" max="7168" width="23.7109375" style="109" customWidth="1"/>
    <col min="7169" max="7176" width="12.7109375" style="109" customWidth="1"/>
    <col min="7177" max="7423" width="12.5703125" style="109"/>
    <col min="7424" max="7424" width="23.7109375" style="109" customWidth="1"/>
    <col min="7425" max="7432" width="12.7109375" style="109" customWidth="1"/>
    <col min="7433" max="7679" width="12.5703125" style="109"/>
    <col min="7680" max="7680" width="23.7109375" style="109" customWidth="1"/>
    <col min="7681" max="7688" width="12.7109375" style="109" customWidth="1"/>
    <col min="7689" max="7935" width="12.5703125" style="109"/>
    <col min="7936" max="7936" width="23.7109375" style="109" customWidth="1"/>
    <col min="7937" max="7944" width="12.7109375" style="109" customWidth="1"/>
    <col min="7945" max="8191" width="12.5703125" style="109"/>
    <col min="8192" max="8192" width="23.7109375" style="109" customWidth="1"/>
    <col min="8193" max="8200" width="12.7109375" style="109" customWidth="1"/>
    <col min="8201" max="8447" width="12.5703125" style="109"/>
    <col min="8448" max="8448" width="23.7109375" style="109" customWidth="1"/>
    <col min="8449" max="8456" width="12.7109375" style="109" customWidth="1"/>
    <col min="8457" max="8703" width="12.5703125" style="109"/>
    <col min="8704" max="8704" width="23.7109375" style="109" customWidth="1"/>
    <col min="8705" max="8712" width="12.7109375" style="109" customWidth="1"/>
    <col min="8713" max="8959" width="12.5703125" style="109"/>
    <col min="8960" max="8960" width="23.7109375" style="109" customWidth="1"/>
    <col min="8961" max="8968" width="12.7109375" style="109" customWidth="1"/>
    <col min="8969" max="9215" width="12.5703125" style="109"/>
    <col min="9216" max="9216" width="23.7109375" style="109" customWidth="1"/>
    <col min="9217" max="9224" width="12.7109375" style="109" customWidth="1"/>
    <col min="9225" max="9471" width="12.5703125" style="109"/>
    <col min="9472" max="9472" width="23.7109375" style="109" customWidth="1"/>
    <col min="9473" max="9480" width="12.7109375" style="109" customWidth="1"/>
    <col min="9481" max="9727" width="12.5703125" style="109"/>
    <col min="9728" max="9728" width="23.7109375" style="109" customWidth="1"/>
    <col min="9729" max="9736" width="12.7109375" style="109" customWidth="1"/>
    <col min="9737" max="9983" width="12.5703125" style="109"/>
    <col min="9984" max="9984" width="23.7109375" style="109" customWidth="1"/>
    <col min="9985" max="9992" width="12.7109375" style="109" customWidth="1"/>
    <col min="9993" max="10239" width="12.5703125" style="109"/>
    <col min="10240" max="10240" width="23.7109375" style="109" customWidth="1"/>
    <col min="10241" max="10248" width="12.7109375" style="109" customWidth="1"/>
    <col min="10249" max="10495" width="12.5703125" style="109"/>
    <col min="10496" max="10496" width="23.7109375" style="109" customWidth="1"/>
    <col min="10497" max="10504" width="12.7109375" style="109" customWidth="1"/>
    <col min="10505" max="10751" width="12.5703125" style="109"/>
    <col min="10752" max="10752" width="23.7109375" style="109" customWidth="1"/>
    <col min="10753" max="10760" width="12.7109375" style="109" customWidth="1"/>
    <col min="10761" max="11007" width="12.5703125" style="109"/>
    <col min="11008" max="11008" width="23.7109375" style="109" customWidth="1"/>
    <col min="11009" max="11016" width="12.7109375" style="109" customWidth="1"/>
    <col min="11017" max="11263" width="12.5703125" style="109"/>
    <col min="11264" max="11264" width="23.7109375" style="109" customWidth="1"/>
    <col min="11265" max="11272" width="12.7109375" style="109" customWidth="1"/>
    <col min="11273" max="11519" width="12.5703125" style="109"/>
    <col min="11520" max="11520" width="23.7109375" style="109" customWidth="1"/>
    <col min="11521" max="11528" width="12.7109375" style="109" customWidth="1"/>
    <col min="11529" max="11775" width="12.5703125" style="109"/>
    <col min="11776" max="11776" width="23.7109375" style="109" customWidth="1"/>
    <col min="11777" max="11784" width="12.7109375" style="109" customWidth="1"/>
    <col min="11785" max="12031" width="12.5703125" style="109"/>
    <col min="12032" max="12032" width="23.7109375" style="109" customWidth="1"/>
    <col min="12033" max="12040" width="12.7109375" style="109" customWidth="1"/>
    <col min="12041" max="12287" width="12.5703125" style="109"/>
    <col min="12288" max="12288" width="23.7109375" style="109" customWidth="1"/>
    <col min="12289" max="12296" width="12.7109375" style="109" customWidth="1"/>
    <col min="12297" max="12543" width="12.5703125" style="109"/>
    <col min="12544" max="12544" width="23.7109375" style="109" customWidth="1"/>
    <col min="12545" max="12552" width="12.7109375" style="109" customWidth="1"/>
    <col min="12553" max="12799" width="12.5703125" style="109"/>
    <col min="12800" max="12800" width="23.7109375" style="109" customWidth="1"/>
    <col min="12801" max="12808" width="12.7109375" style="109" customWidth="1"/>
    <col min="12809" max="13055" width="12.5703125" style="109"/>
    <col min="13056" max="13056" width="23.7109375" style="109" customWidth="1"/>
    <col min="13057" max="13064" width="12.7109375" style="109" customWidth="1"/>
    <col min="13065" max="13311" width="12.5703125" style="109"/>
    <col min="13312" max="13312" width="23.7109375" style="109" customWidth="1"/>
    <col min="13313" max="13320" width="12.7109375" style="109" customWidth="1"/>
    <col min="13321" max="13567" width="12.5703125" style="109"/>
    <col min="13568" max="13568" width="23.7109375" style="109" customWidth="1"/>
    <col min="13569" max="13576" width="12.7109375" style="109" customWidth="1"/>
    <col min="13577" max="13823" width="12.5703125" style="109"/>
    <col min="13824" max="13824" width="23.7109375" style="109" customWidth="1"/>
    <col min="13825" max="13832" width="12.7109375" style="109" customWidth="1"/>
    <col min="13833" max="14079" width="12.5703125" style="109"/>
    <col min="14080" max="14080" width="23.7109375" style="109" customWidth="1"/>
    <col min="14081" max="14088" width="12.7109375" style="109" customWidth="1"/>
    <col min="14089" max="14335" width="12.5703125" style="109"/>
    <col min="14336" max="14336" width="23.7109375" style="109" customWidth="1"/>
    <col min="14337" max="14344" width="12.7109375" style="109" customWidth="1"/>
    <col min="14345" max="14591" width="12.5703125" style="109"/>
    <col min="14592" max="14592" width="23.7109375" style="109" customWidth="1"/>
    <col min="14593" max="14600" width="12.7109375" style="109" customWidth="1"/>
    <col min="14601" max="14847" width="12.5703125" style="109"/>
    <col min="14848" max="14848" width="23.7109375" style="109" customWidth="1"/>
    <col min="14849" max="14856" width="12.7109375" style="109" customWidth="1"/>
    <col min="14857" max="15103" width="12.5703125" style="109"/>
    <col min="15104" max="15104" width="23.7109375" style="109" customWidth="1"/>
    <col min="15105" max="15112" width="12.7109375" style="109" customWidth="1"/>
    <col min="15113" max="15359" width="12.5703125" style="109"/>
    <col min="15360" max="15360" width="23.7109375" style="109" customWidth="1"/>
    <col min="15361" max="15368" width="12.7109375" style="109" customWidth="1"/>
    <col min="15369" max="15615" width="12.5703125" style="109"/>
    <col min="15616" max="15616" width="23.7109375" style="109" customWidth="1"/>
    <col min="15617" max="15624" width="12.7109375" style="109" customWidth="1"/>
    <col min="15625" max="15871" width="12.5703125" style="109"/>
    <col min="15872" max="15872" width="23.7109375" style="109" customWidth="1"/>
    <col min="15873" max="15880" width="12.7109375" style="109" customWidth="1"/>
    <col min="15881" max="16127" width="12.5703125" style="109"/>
    <col min="16128" max="16128" width="23.7109375" style="109" customWidth="1"/>
    <col min="16129" max="16136" width="12.7109375" style="109" customWidth="1"/>
    <col min="16137" max="16384" width="12.5703125" style="109"/>
  </cols>
  <sheetData>
    <row r="1" spans="1:13" ht="18">
      <c r="A1" s="65" t="str">
        <f>HLOOKUP(INDICE!$F$2,Nombres!$C$3:$F$853,141)</f>
        <v>Branches</v>
      </c>
      <c r="B1" s="108"/>
      <c r="C1" s="108"/>
      <c r="D1" s="108"/>
      <c r="E1" s="108"/>
      <c r="F1" s="108"/>
      <c r="G1" s="67"/>
      <c r="H1" s="67"/>
    </row>
    <row r="2" spans="1:13" ht="28.5" customHeight="1">
      <c r="A2" s="137"/>
      <c r="B2" s="138">
        <v>42825</v>
      </c>
      <c r="C2" s="138">
        <v>42916</v>
      </c>
      <c r="D2" s="138">
        <v>43008</v>
      </c>
      <c r="E2" s="138">
        <v>43100</v>
      </c>
      <c r="F2" s="138">
        <v>43190</v>
      </c>
      <c r="G2" s="138">
        <v>43281</v>
      </c>
      <c r="H2" s="138">
        <v>43373</v>
      </c>
    </row>
    <row r="3" spans="1:13" customFormat="1" ht="15">
      <c r="A3" s="139" t="str">
        <f>HLOOKUP(INDICE!$F$2,Nombres!$C$3:$F$853,142)</f>
        <v>Spain</v>
      </c>
      <c r="B3" s="77">
        <v>3174</v>
      </c>
      <c r="C3" s="77">
        <v>3115</v>
      </c>
      <c r="D3" s="77">
        <v>3085</v>
      </c>
      <c r="E3" s="77">
        <v>3019</v>
      </c>
      <c r="F3" s="77">
        <v>2929</v>
      </c>
      <c r="G3" s="77">
        <v>2881</v>
      </c>
      <c r="H3" s="77">
        <v>2870</v>
      </c>
      <c r="I3" s="129"/>
      <c r="K3" s="109"/>
      <c r="L3" s="109"/>
    </row>
    <row r="4" spans="1:13" customFormat="1" ht="15">
      <c r="A4" s="139" t="str">
        <f>HLOOKUP(INDICE!$F$2,Nombres!$C$3:$E$853,184)</f>
        <v>Rest of Eurasia</v>
      </c>
      <c r="B4" s="77">
        <v>45</v>
      </c>
      <c r="C4" s="77">
        <v>39</v>
      </c>
      <c r="D4" s="77">
        <v>35</v>
      </c>
      <c r="E4" s="77">
        <v>35</v>
      </c>
      <c r="F4" s="77">
        <v>35</v>
      </c>
      <c r="G4" s="77">
        <v>35</v>
      </c>
      <c r="H4" s="77">
        <v>35</v>
      </c>
      <c r="I4" s="129"/>
      <c r="K4" s="109"/>
      <c r="L4" s="109"/>
    </row>
    <row r="5" spans="1:13" customFormat="1" ht="15">
      <c r="A5" s="139" t="str">
        <f>HLOOKUP(INDICE!$F$2,Nombres!$C$3:$E$853,295)</f>
        <v xml:space="preserve">Turkey </v>
      </c>
      <c r="B5" s="77">
        <v>1128</v>
      </c>
      <c r="C5" s="77">
        <v>1119</v>
      </c>
      <c r="D5" s="77">
        <v>1104</v>
      </c>
      <c r="E5" s="77">
        <v>1095</v>
      </c>
      <c r="F5" s="77">
        <v>1082</v>
      </c>
      <c r="G5" s="77">
        <v>1072</v>
      </c>
      <c r="H5" s="77">
        <v>1069</v>
      </c>
      <c r="I5" s="129"/>
      <c r="K5" s="109"/>
      <c r="L5" s="109"/>
    </row>
    <row r="6" spans="1:13" customFormat="1" ht="15">
      <c r="A6" s="139" t="str">
        <f>HLOOKUP(INDICE!$F$2,Nombres!$C$3:$F$853,143)</f>
        <v>America</v>
      </c>
      <c r="B6" s="77">
        <v>4152</v>
      </c>
      <c r="C6" s="77">
        <f>SUM(C7:C18)</f>
        <v>4148</v>
      </c>
      <c r="D6" s="77">
        <f>SUM(D7:D18)</f>
        <v>4150</v>
      </c>
      <c r="E6" s="77">
        <f>SUM(E7:E18)</f>
        <v>4123</v>
      </c>
      <c r="F6" s="77">
        <v>4154</v>
      </c>
      <c r="G6" s="77">
        <f>SUM(G7:G18)</f>
        <v>4153</v>
      </c>
      <c r="H6" s="77">
        <v>4025</v>
      </c>
      <c r="I6" s="129"/>
      <c r="K6" s="109"/>
      <c r="L6" s="109"/>
    </row>
    <row r="7" spans="1:13" customFormat="1" ht="15">
      <c r="A7" s="125" t="str">
        <f>HLOOKUP(INDICE!$F$2,Nombres!$C$3:$F$853,144)</f>
        <v xml:space="preserve">   Mexico</v>
      </c>
      <c r="B7" s="82">
        <v>1834</v>
      </c>
      <c r="C7" s="82">
        <v>1834</v>
      </c>
      <c r="D7" s="82">
        <v>1845</v>
      </c>
      <c r="E7" s="82">
        <v>1840</v>
      </c>
      <c r="F7" s="82">
        <v>1833</v>
      </c>
      <c r="G7" s="82">
        <v>1836</v>
      </c>
      <c r="H7" s="82">
        <v>1836</v>
      </c>
      <c r="I7" s="129"/>
    </row>
    <row r="8" spans="1:13" customFormat="1" ht="15">
      <c r="A8" s="125" t="str">
        <f>HLOOKUP(INDICE!$F$2,Nombres!$C$3:$F$853,145)</f>
        <v xml:space="preserve">   The United States</v>
      </c>
      <c r="B8" s="82">
        <v>661</v>
      </c>
      <c r="C8" s="82">
        <v>650</v>
      </c>
      <c r="D8" s="82">
        <v>649</v>
      </c>
      <c r="E8" s="82">
        <v>651</v>
      </c>
      <c r="F8" s="82">
        <v>652</v>
      </c>
      <c r="G8" s="82">
        <v>648</v>
      </c>
      <c r="H8" s="82">
        <v>648</v>
      </c>
      <c r="I8" s="129"/>
      <c r="K8" s="109"/>
      <c r="L8" s="109"/>
      <c r="M8" s="140"/>
    </row>
    <row r="9" spans="1:13" customFormat="1" ht="15">
      <c r="A9" s="125" t="str">
        <f>HLOOKUP(INDICE!$F$2,Nombres!$C$3:$F$853,146)</f>
        <v xml:space="preserve">   Argentina</v>
      </c>
      <c r="B9" s="82">
        <v>253</v>
      </c>
      <c r="C9" s="82">
        <v>253</v>
      </c>
      <c r="D9" s="82">
        <v>252</v>
      </c>
      <c r="E9" s="82">
        <v>251</v>
      </c>
      <c r="F9" s="82">
        <v>251</v>
      </c>
      <c r="G9" s="82">
        <v>252</v>
      </c>
      <c r="H9" s="82">
        <v>251</v>
      </c>
      <c r="I9" s="129"/>
      <c r="K9" s="109"/>
      <c r="L9" s="109"/>
      <c r="M9" s="140"/>
    </row>
    <row r="10" spans="1:13" customFormat="1" ht="15">
      <c r="A10" s="125" t="str">
        <f>HLOOKUP(INDICE!$F$2,Nombres!$C$3:$F$853,147)</f>
        <v xml:space="preserve">   Colombia</v>
      </c>
      <c r="B10" s="82">
        <v>530</v>
      </c>
      <c r="C10" s="82">
        <v>540</v>
      </c>
      <c r="D10" s="82">
        <v>538</v>
      </c>
      <c r="E10" s="82">
        <v>515</v>
      </c>
      <c r="F10" s="82">
        <v>555</v>
      </c>
      <c r="G10" s="82">
        <v>559</v>
      </c>
      <c r="H10" s="82">
        <v>558</v>
      </c>
      <c r="I10" s="129"/>
      <c r="J10" s="109"/>
      <c r="K10" s="109"/>
      <c r="L10" s="109"/>
      <c r="M10" s="140"/>
    </row>
    <row r="11" spans="1:13" customFormat="1" ht="15">
      <c r="A11" s="125" t="str">
        <f>HLOOKUP(INDICE!$F$2,Nombres!$C$3:$F$853,148)</f>
        <v xml:space="preserve">   Venezuela</v>
      </c>
      <c r="B11" s="82">
        <v>341</v>
      </c>
      <c r="C11" s="82">
        <v>338</v>
      </c>
      <c r="D11" s="82">
        <v>333</v>
      </c>
      <c r="E11" s="82">
        <v>333</v>
      </c>
      <c r="F11" s="82">
        <v>331</v>
      </c>
      <c r="G11" s="82">
        <v>327</v>
      </c>
      <c r="H11" s="82">
        <v>325</v>
      </c>
      <c r="I11" s="129"/>
      <c r="J11" s="109"/>
      <c r="K11" s="109"/>
      <c r="L11" s="109"/>
      <c r="M11" s="140"/>
    </row>
    <row r="12" spans="1:13" customFormat="1" ht="15">
      <c r="A12" s="125" t="str">
        <f>HLOOKUP(INDICE!$F$2,Nombres!$C$3:$F$853,149)</f>
        <v xml:space="preserve">   Peru</v>
      </c>
      <c r="B12" s="82">
        <v>332</v>
      </c>
      <c r="C12" s="82">
        <v>332</v>
      </c>
      <c r="D12" s="82">
        <v>332</v>
      </c>
      <c r="E12" s="82">
        <v>332</v>
      </c>
      <c r="F12" s="82">
        <v>332</v>
      </c>
      <c r="G12" s="82">
        <v>332</v>
      </c>
      <c r="H12" s="82">
        <v>332</v>
      </c>
      <c r="I12" s="129"/>
      <c r="J12" s="109"/>
      <c r="K12" s="109"/>
      <c r="L12" s="109"/>
      <c r="M12" s="140"/>
    </row>
    <row r="13" spans="1:13" customFormat="1" ht="15">
      <c r="A13" s="125" t="str">
        <f>HLOOKUP(INDICE!$F$2,Nombres!$C$3:$F$853,150)</f>
        <v xml:space="preserve">   Chile</v>
      </c>
      <c r="B13" s="82">
        <v>135</v>
      </c>
      <c r="C13" s="82">
        <v>135</v>
      </c>
      <c r="D13" s="82">
        <v>135</v>
      </c>
      <c r="E13" s="82">
        <v>135</v>
      </c>
      <c r="F13" s="82">
        <v>136</v>
      </c>
      <c r="G13" s="82">
        <v>135</v>
      </c>
      <c r="H13" s="82">
        <v>13</v>
      </c>
      <c r="I13" s="129"/>
      <c r="J13" s="109"/>
      <c r="K13" s="109"/>
      <c r="L13" s="109"/>
      <c r="M13" s="140"/>
    </row>
    <row r="14" spans="1:13" customFormat="1" ht="15">
      <c r="A14" s="125" t="str">
        <f>HLOOKUP(INDICE!$F$2,Nombres!$C$3:$F$853,152)</f>
        <v xml:space="preserve">   Paraguay</v>
      </c>
      <c r="B14" s="82">
        <v>22</v>
      </c>
      <c r="C14" s="82">
        <v>22</v>
      </c>
      <c r="D14" s="82">
        <v>22</v>
      </c>
      <c r="E14" s="82">
        <v>22</v>
      </c>
      <c r="F14" s="82">
        <v>22</v>
      </c>
      <c r="G14" s="82">
        <v>22</v>
      </c>
      <c r="H14" s="82">
        <v>20</v>
      </c>
      <c r="I14" s="129"/>
      <c r="K14" s="109"/>
      <c r="L14" s="109"/>
      <c r="M14" s="140"/>
    </row>
    <row r="15" spans="1:13" customFormat="1" ht="15">
      <c r="A15" s="125" t="str">
        <f>HLOOKUP(INDICE!$F$2,Nombres!$C$3:$F$853,153)</f>
        <v xml:space="preserve">   Uruguay</v>
      </c>
      <c r="B15" s="82">
        <v>33</v>
      </c>
      <c r="C15" s="82">
        <v>33</v>
      </c>
      <c r="D15" s="82">
        <v>33</v>
      </c>
      <c r="E15" s="82">
        <v>33</v>
      </c>
      <c r="F15" s="82">
        <v>31</v>
      </c>
      <c r="G15" s="82">
        <v>31</v>
      </c>
      <c r="H15" s="82">
        <v>31</v>
      </c>
      <c r="I15" s="129"/>
      <c r="J15" s="109"/>
      <c r="K15" s="109"/>
      <c r="L15" s="109"/>
      <c r="M15" s="140"/>
    </row>
    <row r="16" spans="1:13" customFormat="1" ht="15">
      <c r="A16" s="125" t="str">
        <f>HLOOKUP(INDICE!$F$2,Nombres!$C$3:$F$853,155)</f>
        <v xml:space="preserve">   Bolivia</v>
      </c>
      <c r="B16" s="82">
        <v>9</v>
      </c>
      <c r="C16" s="82">
        <v>9</v>
      </c>
      <c r="D16" s="82">
        <v>9</v>
      </c>
      <c r="E16" s="82">
        <v>9</v>
      </c>
      <c r="F16" s="82">
        <v>9</v>
      </c>
      <c r="G16" s="82">
        <v>9</v>
      </c>
      <c r="H16" s="82">
        <v>9</v>
      </c>
      <c r="I16" s="129"/>
      <c r="J16" s="109"/>
      <c r="L16" s="109"/>
      <c r="M16" s="140"/>
    </row>
    <row r="17" spans="1:13" customFormat="1" ht="15">
      <c r="A17" s="141" t="str">
        <f>HLOOKUP(INDICE!$F$2,Nombres!$C$3:$F$853,358)</f>
        <v>Cuba</v>
      </c>
      <c r="B17" s="82">
        <v>1</v>
      </c>
      <c r="C17" s="82">
        <v>1</v>
      </c>
      <c r="D17" s="82">
        <v>1</v>
      </c>
      <c r="E17" s="82">
        <v>1</v>
      </c>
      <c r="F17" s="82">
        <v>1</v>
      </c>
      <c r="G17" s="82">
        <v>1</v>
      </c>
      <c r="H17" s="82">
        <v>1</v>
      </c>
      <c r="I17" s="129"/>
      <c r="J17" s="109"/>
      <c r="L17" s="109"/>
      <c r="M17" s="140"/>
    </row>
    <row r="18" spans="1:13" customFormat="1" ht="15">
      <c r="A18" s="142" t="str">
        <f>HLOOKUP(INDICE!$F$2,Nombres!$C$3:$F$853,302)</f>
        <v xml:space="preserve">   Brazil</v>
      </c>
      <c r="B18" s="82">
        <v>1</v>
      </c>
      <c r="C18" s="82">
        <v>1</v>
      </c>
      <c r="D18" s="82">
        <v>1</v>
      </c>
      <c r="E18" s="82">
        <v>1</v>
      </c>
      <c r="F18" s="82">
        <v>1</v>
      </c>
      <c r="G18" s="82">
        <v>1</v>
      </c>
      <c r="H18" s="82">
        <v>1</v>
      </c>
      <c r="I18" s="129"/>
      <c r="J18" s="109"/>
      <c r="K18" s="109"/>
      <c r="L18" s="109"/>
    </row>
    <row r="19" spans="1:13" customFormat="1" ht="15">
      <c r="A19" s="139" t="str">
        <f>HLOOKUP(INDICE!$F$2,Nombres!$C$3:$F$853,157)</f>
        <v>Total</v>
      </c>
      <c r="B19" s="77">
        <v>8499</v>
      </c>
      <c r="C19" s="77">
        <f>SUM(C3:C6)</f>
        <v>8421</v>
      </c>
      <c r="D19" s="77">
        <f>SUM(D3:D6)</f>
        <v>8374</v>
      </c>
      <c r="E19" s="77">
        <f>SUM(E3:E6)</f>
        <v>8272</v>
      </c>
      <c r="F19" s="77">
        <v>8200</v>
      </c>
      <c r="G19" s="77">
        <f>SUM(G3:G6)</f>
        <v>8141</v>
      </c>
      <c r="H19" s="77">
        <v>7999</v>
      </c>
      <c r="I19" s="129"/>
      <c r="J19" s="109"/>
    </row>
    <row r="20" spans="1:13" customFormat="1" ht="15">
      <c r="A20" s="72"/>
      <c r="B20" s="72"/>
      <c r="C20" s="72"/>
      <c r="D20" s="72"/>
      <c r="E20" s="72"/>
      <c r="F20" s="72"/>
      <c r="G20" s="72"/>
      <c r="H20" s="72"/>
      <c r="J20" s="109"/>
    </row>
    <row r="21" spans="1:13" ht="18">
      <c r="A21" s="65" t="str">
        <f>HLOOKUP(INDICE!$F$2,Nombres!$C$3:$F$853,158)</f>
        <v>Employees</v>
      </c>
      <c r="B21" s="143"/>
      <c r="C21" s="143"/>
      <c r="D21" s="143"/>
      <c r="E21" s="108"/>
      <c r="F21" s="143"/>
      <c r="G21" s="143"/>
      <c r="H21" s="143"/>
      <c r="I21" s="144"/>
    </row>
    <row r="22" spans="1:13" ht="30" customHeight="1">
      <c r="A22" s="137"/>
      <c r="B22" s="138">
        <v>42825</v>
      </c>
      <c r="C22" s="138">
        <v>42916</v>
      </c>
      <c r="D22" s="138">
        <v>43008</v>
      </c>
      <c r="E22" s="138">
        <v>43100</v>
      </c>
      <c r="F22" s="138">
        <v>43190</v>
      </c>
      <c r="G22" s="138">
        <v>43281</v>
      </c>
      <c r="H22" s="138">
        <v>43373</v>
      </c>
      <c r="I22" s="144"/>
    </row>
    <row r="23" spans="1:13" customFormat="1" ht="15">
      <c r="A23" s="139" t="str">
        <f>HLOOKUP(INDICE!$F$2,Nombres!$C$3:$F$853,142)</f>
        <v>Spain</v>
      </c>
      <c r="B23" s="77">
        <v>30793</v>
      </c>
      <c r="C23" s="77">
        <v>30687</v>
      </c>
      <c r="D23" s="77">
        <v>30584</v>
      </c>
      <c r="E23" s="77">
        <v>30584</v>
      </c>
      <c r="F23" s="77">
        <v>30622</v>
      </c>
      <c r="G23" s="77">
        <v>30531</v>
      </c>
      <c r="H23" s="77">
        <v>30337</v>
      </c>
      <c r="I23" s="109"/>
      <c r="J23" s="77"/>
      <c r="L23" s="129"/>
    </row>
    <row r="24" spans="1:13" customFormat="1" ht="15">
      <c r="A24" s="139" t="str">
        <f>HLOOKUP(INDICE!$F$2,Nombres!$C$3:$E$853,184)</f>
        <v>Rest of Eurasia</v>
      </c>
      <c r="B24" s="77">
        <v>1152</v>
      </c>
      <c r="C24" s="77">
        <v>1136</v>
      </c>
      <c r="D24" s="77">
        <v>1115</v>
      </c>
      <c r="E24" s="78">
        <v>1099</v>
      </c>
      <c r="F24" s="77">
        <v>1124</v>
      </c>
      <c r="G24" s="77">
        <v>1120</v>
      </c>
      <c r="H24" s="77">
        <v>1137</v>
      </c>
      <c r="I24" s="109"/>
      <c r="J24" s="77"/>
      <c r="L24" s="129"/>
    </row>
    <row r="25" spans="1:13" customFormat="1" ht="15">
      <c r="A25" s="139" t="str">
        <f>HLOOKUP(INDICE!$F$2,Nombres!$C$3:$E$853,295)</f>
        <v xml:space="preserve">Turkey </v>
      </c>
      <c r="B25" s="77">
        <v>23455</v>
      </c>
      <c r="C25" s="77">
        <v>23189</v>
      </c>
      <c r="D25" s="77">
        <v>22945</v>
      </c>
      <c r="E25" s="77">
        <v>22615</v>
      </c>
      <c r="F25" s="77">
        <v>22400</v>
      </c>
      <c r="G25" s="77">
        <v>22286</v>
      </c>
      <c r="H25" s="77">
        <v>22367</v>
      </c>
      <c r="I25" s="109"/>
      <c r="J25" s="77"/>
      <c r="L25" s="129"/>
    </row>
    <row r="26" spans="1:13" customFormat="1" ht="15">
      <c r="A26" s="139" t="str">
        <f>HLOOKUP(INDICE!$F$2,Nombres!$C$3:$F$853,143)</f>
        <v>America</v>
      </c>
      <c r="B26" s="77">
        <v>77607</v>
      </c>
      <c r="C26" s="77">
        <v>77309</v>
      </c>
      <c r="D26" s="77">
        <f>SUM(D27:D38)</f>
        <v>77375</v>
      </c>
      <c r="E26" s="77">
        <f>SUM(E27:E38)</f>
        <v>77558</v>
      </c>
      <c r="F26" s="77">
        <v>77599</v>
      </c>
      <c r="G26" s="77">
        <f>SUM(G27:G38)</f>
        <v>77847</v>
      </c>
      <c r="H26" s="77">
        <v>72516</v>
      </c>
      <c r="I26" s="109"/>
      <c r="J26" s="77"/>
      <c r="L26" s="129"/>
    </row>
    <row r="27" spans="1:13" customFormat="1" ht="15">
      <c r="A27" s="125" t="str">
        <f>HLOOKUP(INDICE!$F$2,Nombres!$C$3:$F$853,144)</f>
        <v xml:space="preserve">   Mexico</v>
      </c>
      <c r="B27" s="82">
        <v>36617</v>
      </c>
      <c r="C27" s="82">
        <v>36794</v>
      </c>
      <c r="D27" s="82">
        <v>37044</v>
      </c>
      <c r="E27" s="145">
        <v>37207</v>
      </c>
      <c r="F27" s="82">
        <v>37439</v>
      </c>
      <c r="G27" s="82">
        <v>37863</v>
      </c>
      <c r="H27" s="82">
        <v>36281</v>
      </c>
      <c r="I27" s="129"/>
      <c r="J27" s="82"/>
      <c r="L27" s="129"/>
    </row>
    <row r="28" spans="1:13" customFormat="1" ht="15">
      <c r="A28" s="125" t="str">
        <f>HLOOKUP(INDICE!$F$2,Nombres!$C$3:$F$853,145)</f>
        <v xml:space="preserve">   The United States</v>
      </c>
      <c r="B28" s="82">
        <v>10651</v>
      </c>
      <c r="C28" s="82">
        <v>10656</v>
      </c>
      <c r="D28" s="82">
        <v>10801</v>
      </c>
      <c r="E28" s="145">
        <v>10928</v>
      </c>
      <c r="F28" s="82">
        <v>10977</v>
      </c>
      <c r="G28" s="82">
        <v>10908</v>
      </c>
      <c r="H28" s="82">
        <v>11005</v>
      </c>
      <c r="I28" s="129"/>
      <c r="J28" s="82"/>
      <c r="K28" s="109"/>
      <c r="L28" s="129"/>
      <c r="M28" s="146"/>
    </row>
    <row r="29" spans="1:13" customFormat="1" ht="15">
      <c r="A29" s="125" t="str">
        <f>HLOOKUP(INDICE!$F$2,Nombres!$C$3:$F$853,146)</f>
        <v xml:space="preserve">   Argentina</v>
      </c>
      <c r="B29" s="82">
        <v>6401</v>
      </c>
      <c r="C29" s="82">
        <v>6375</v>
      </c>
      <c r="D29" s="82">
        <v>6329</v>
      </c>
      <c r="E29" s="82">
        <v>6264</v>
      </c>
      <c r="F29" s="82">
        <v>6244</v>
      </c>
      <c r="G29" s="82">
        <v>6253</v>
      </c>
      <c r="H29" s="82">
        <v>6250</v>
      </c>
      <c r="I29" s="129"/>
      <c r="J29" s="82"/>
      <c r="K29" s="109"/>
      <c r="L29" s="129"/>
    </row>
    <row r="30" spans="1:13" customFormat="1" ht="15">
      <c r="A30" s="125" t="str">
        <f>HLOOKUP(INDICE!$F$2,Nombres!$C$3:$F$853,147)</f>
        <v xml:space="preserve">   Colombia</v>
      </c>
      <c r="B30" s="82">
        <v>7059</v>
      </c>
      <c r="C30" s="82">
        <v>6974</v>
      </c>
      <c r="D30" s="82">
        <v>6860</v>
      </c>
      <c r="E30" s="82">
        <v>6769</v>
      </c>
      <c r="F30" s="82">
        <v>6744</v>
      </c>
      <c r="G30" s="82">
        <v>6747</v>
      </c>
      <c r="H30" s="82">
        <v>6765</v>
      </c>
      <c r="I30" s="129"/>
      <c r="J30" s="82"/>
      <c r="K30" s="109"/>
      <c r="L30" s="129"/>
    </row>
    <row r="31" spans="1:13" customFormat="1" ht="15">
      <c r="A31" s="125" t="str">
        <f>HLOOKUP(INDICE!$F$2,Nombres!$C$3:$F$853,148)</f>
        <v xml:space="preserve">   Venezuela</v>
      </c>
      <c r="B31" s="82">
        <v>4621</v>
      </c>
      <c r="C31" s="82">
        <v>4412</v>
      </c>
      <c r="D31" s="82">
        <v>4251</v>
      </c>
      <c r="E31" s="82">
        <v>4159</v>
      </c>
      <c r="F31" s="82">
        <v>3846</v>
      </c>
      <c r="G31" s="82">
        <v>3667</v>
      </c>
      <c r="H31" s="82">
        <v>3526</v>
      </c>
      <c r="I31" s="129"/>
      <c r="J31" s="82"/>
      <c r="K31" s="109"/>
      <c r="L31" s="129"/>
    </row>
    <row r="32" spans="1:13" customFormat="1" ht="15">
      <c r="A32" s="125" t="str">
        <f>HLOOKUP(INDICE!$F$2,Nombres!$C$3:$F$853,149)</f>
        <v xml:space="preserve">   Peru</v>
      </c>
      <c r="B32" s="82">
        <v>6078</v>
      </c>
      <c r="C32" s="82">
        <v>5899</v>
      </c>
      <c r="D32" s="82">
        <v>5884</v>
      </c>
      <c r="E32" s="82">
        <v>5955</v>
      </c>
      <c r="F32" s="82">
        <v>6063</v>
      </c>
      <c r="G32" s="82">
        <v>6199</v>
      </c>
      <c r="H32" s="82">
        <v>6360</v>
      </c>
      <c r="I32" s="129"/>
      <c r="J32" s="82"/>
      <c r="K32" s="109"/>
      <c r="L32" s="129"/>
    </row>
    <row r="33" spans="1:12" customFormat="1" ht="15">
      <c r="A33" s="125" t="str">
        <f>HLOOKUP(INDICE!$F$2,Nombres!$C$3:$F$853,150)</f>
        <v xml:space="preserve">   Chile</v>
      </c>
      <c r="B33" s="82">
        <v>4747</v>
      </c>
      <c r="C33" s="82">
        <v>4772</v>
      </c>
      <c r="D33" s="82">
        <v>4808</v>
      </c>
      <c r="E33" s="82">
        <v>4852</v>
      </c>
      <c r="F33" s="82">
        <v>4855</v>
      </c>
      <c r="G33" s="82">
        <v>4812</v>
      </c>
      <c r="H33" s="82">
        <v>917</v>
      </c>
      <c r="I33" s="129"/>
      <c r="J33" s="82"/>
      <c r="K33" s="109"/>
      <c r="L33" s="129"/>
    </row>
    <row r="34" spans="1:12" customFormat="1" ht="15">
      <c r="A34" s="125" t="str">
        <f>HLOOKUP(INDICE!$F$2,Nombres!$C$3:$F$853,152)</f>
        <v xml:space="preserve">   Paraguay</v>
      </c>
      <c r="B34" s="82">
        <v>454</v>
      </c>
      <c r="C34" s="82">
        <v>446</v>
      </c>
      <c r="D34" s="82">
        <v>444</v>
      </c>
      <c r="E34" s="82">
        <v>446</v>
      </c>
      <c r="F34" s="82">
        <v>443</v>
      </c>
      <c r="G34" s="82">
        <v>436</v>
      </c>
      <c r="H34" s="82">
        <v>434</v>
      </c>
      <c r="I34" s="129"/>
      <c r="J34" s="82"/>
      <c r="K34" s="109"/>
      <c r="L34" s="129"/>
    </row>
    <row r="35" spans="1:12" customFormat="1" ht="15">
      <c r="A35" s="125" t="str">
        <f>HLOOKUP(INDICE!$F$2,Nombres!$C$3:$F$853,153)</f>
        <v xml:space="preserve">   Uruguay</v>
      </c>
      <c r="B35" s="82">
        <v>618</v>
      </c>
      <c r="C35" s="82">
        <v>602</v>
      </c>
      <c r="D35" s="82">
        <v>591</v>
      </c>
      <c r="E35" s="82">
        <v>592</v>
      </c>
      <c r="F35" s="82">
        <v>589</v>
      </c>
      <c r="G35" s="82">
        <v>571</v>
      </c>
      <c r="H35" s="82">
        <v>573</v>
      </c>
      <c r="I35" s="129"/>
      <c r="J35" s="82"/>
      <c r="K35" s="109"/>
      <c r="L35" s="129"/>
    </row>
    <row r="36" spans="1:12" customFormat="1" ht="15">
      <c r="A36" s="125" t="str">
        <f>HLOOKUP(INDICE!$F$2,Nombres!$C$3:$F$853,155)</f>
        <v xml:space="preserve">   Bolivia</v>
      </c>
      <c r="B36" s="82">
        <v>354</v>
      </c>
      <c r="C36" s="82">
        <v>372</v>
      </c>
      <c r="D36" s="82">
        <v>356</v>
      </c>
      <c r="E36" s="82">
        <v>379</v>
      </c>
      <c r="F36" s="82">
        <v>392</v>
      </c>
      <c r="G36" s="82">
        <v>384</v>
      </c>
      <c r="H36" s="82">
        <v>398</v>
      </c>
      <c r="I36" s="129"/>
      <c r="J36" s="82"/>
      <c r="L36" s="129"/>
    </row>
    <row r="37" spans="1:12" customFormat="1" ht="15">
      <c r="A37" s="141" t="str">
        <f>HLOOKUP(INDICE!$F$2,Nombres!$C$3:$F$853,358)</f>
        <v>Cuba</v>
      </c>
      <c r="B37" s="82">
        <v>1</v>
      </c>
      <c r="C37" s="82">
        <v>1</v>
      </c>
      <c r="D37" s="82">
        <v>1</v>
      </c>
      <c r="E37" s="82">
        <v>1</v>
      </c>
      <c r="F37" s="82">
        <v>1</v>
      </c>
      <c r="G37" s="82">
        <v>1</v>
      </c>
      <c r="H37" s="82">
        <v>1</v>
      </c>
      <c r="I37" s="129"/>
      <c r="J37" s="82"/>
      <c r="L37" s="129"/>
    </row>
    <row r="38" spans="1:12" customFormat="1" ht="15">
      <c r="A38" s="142" t="str">
        <f>HLOOKUP(INDICE!$F$2,Nombres!$C$3:$F$853,302)</f>
        <v xml:space="preserve">   Brazil</v>
      </c>
      <c r="B38" s="82">
        <v>6</v>
      </c>
      <c r="C38" s="82">
        <v>6</v>
      </c>
      <c r="D38" s="82">
        <v>6</v>
      </c>
      <c r="E38" s="82">
        <v>6</v>
      </c>
      <c r="F38" s="82">
        <v>6</v>
      </c>
      <c r="G38" s="82">
        <v>6</v>
      </c>
      <c r="H38" s="82">
        <v>6</v>
      </c>
      <c r="I38" s="109"/>
      <c r="J38" s="82"/>
      <c r="L38" s="129"/>
    </row>
    <row r="39" spans="1:12" customFormat="1" ht="15">
      <c r="A39" s="139" t="str">
        <f>HLOOKUP(INDICE!$F$2,Nombres!$C$3:$F$853,157)</f>
        <v>Total</v>
      </c>
      <c r="B39" s="77">
        <v>133007</v>
      </c>
      <c r="C39" s="77">
        <v>132321</v>
      </c>
      <c r="D39" s="77">
        <f>SUM(D23:D26)</f>
        <v>132019</v>
      </c>
      <c r="E39" s="77">
        <f>SUM(E23:E26)</f>
        <v>131856</v>
      </c>
      <c r="F39" s="77">
        <v>131745</v>
      </c>
      <c r="G39" s="77">
        <f>SUM(G23:G26)</f>
        <v>131784</v>
      </c>
      <c r="H39" s="77">
        <v>126357</v>
      </c>
      <c r="I39" s="129"/>
      <c r="L39" s="129"/>
    </row>
    <row r="40" spans="1:12" customFormat="1" ht="15">
      <c r="A40" s="72"/>
      <c r="B40" s="72"/>
      <c r="C40" s="72"/>
      <c r="D40" s="72"/>
      <c r="E40" s="72"/>
      <c r="F40" s="72"/>
      <c r="G40" s="72"/>
      <c r="H40" s="72"/>
    </row>
    <row r="41" spans="1:12" ht="18">
      <c r="A41" s="65" t="str">
        <f>HLOOKUP(INDICE!$F$2,Nombres!$C$3:$F$853,205)</f>
        <v>ATM's</v>
      </c>
      <c r="B41" s="143"/>
      <c r="C41" s="143"/>
      <c r="D41" s="143"/>
      <c r="E41" s="108"/>
      <c r="F41" s="143"/>
      <c r="G41" s="143"/>
      <c r="H41" s="143"/>
    </row>
    <row r="42" spans="1:12" ht="30" customHeight="1">
      <c r="A42" s="92"/>
      <c r="B42" s="138">
        <v>42825</v>
      </c>
      <c r="C42" s="138">
        <v>42916</v>
      </c>
      <c r="D42" s="138">
        <v>43008</v>
      </c>
      <c r="E42" s="138">
        <v>43100</v>
      </c>
      <c r="F42" s="138">
        <v>43190</v>
      </c>
      <c r="G42" s="138">
        <v>43281</v>
      </c>
      <c r="H42" s="138">
        <v>43373</v>
      </c>
    </row>
    <row r="43" spans="1:12" ht="14.25">
      <c r="A43" s="139" t="str">
        <f>HLOOKUP(INDICE!$F$2,Nombres!$C$3:$F$853,142)</f>
        <v>Spain</v>
      </c>
      <c r="B43" s="77">
        <v>6506</v>
      </c>
      <c r="C43" s="77">
        <v>6481</v>
      </c>
      <c r="D43" s="77">
        <v>6434</v>
      </c>
      <c r="E43" s="77">
        <v>6378</v>
      </c>
      <c r="F43" s="77">
        <v>6321</v>
      </c>
      <c r="G43" s="77">
        <v>6264</v>
      </c>
      <c r="H43" s="77">
        <v>6258</v>
      </c>
    </row>
    <row r="44" spans="1:12" ht="14.25">
      <c r="A44" s="139" t="str">
        <f>HLOOKUP(INDICE!$F$2,Nombres!$C$3:$E$853,184)</f>
        <v>Rest of Eurasia</v>
      </c>
      <c r="B44" s="77">
        <v>27</v>
      </c>
      <c r="C44" s="77">
        <v>27</v>
      </c>
      <c r="D44" s="77">
        <v>25</v>
      </c>
      <c r="E44" s="77">
        <v>25</v>
      </c>
      <c r="F44" s="77">
        <v>25</v>
      </c>
      <c r="G44" s="77">
        <v>25</v>
      </c>
      <c r="H44" s="77">
        <v>24</v>
      </c>
    </row>
    <row r="45" spans="1:12" ht="14.25">
      <c r="A45" s="139" t="str">
        <f>HLOOKUP(INDICE!$F$2,Nombres!$C$3:$E$853,295)</f>
        <v xml:space="preserve">Turkey </v>
      </c>
      <c r="B45" s="77">
        <v>5084</v>
      </c>
      <c r="C45" s="77">
        <v>4983</v>
      </c>
      <c r="D45" s="77">
        <v>4983</v>
      </c>
      <c r="E45" s="77">
        <v>5219</v>
      </c>
      <c r="F45" s="77">
        <v>5217</v>
      </c>
      <c r="G45" s="77">
        <v>5269</v>
      </c>
      <c r="H45" s="77">
        <v>5335</v>
      </c>
    </row>
    <row r="46" spans="1:12" ht="14.25">
      <c r="A46" s="139" t="str">
        <f>HLOOKUP(INDICE!$F$2,Nombres!$C$3:$F$853,143)</f>
        <v>America</v>
      </c>
      <c r="B46" s="77">
        <v>19568</v>
      </c>
      <c r="C46" s="77">
        <f>SUM(C47:C55)</f>
        <v>19703</v>
      </c>
      <c r="D46" s="77">
        <f>SUM(D47:D55)</f>
        <v>19772</v>
      </c>
      <c r="E46" s="77">
        <f>SUM(E47:E55)</f>
        <v>20066</v>
      </c>
      <c r="F46" s="77">
        <v>20039</v>
      </c>
      <c r="G46" s="77">
        <f>SUM(G47:G55)</f>
        <v>19972</v>
      </c>
      <c r="H46" s="77">
        <v>19779</v>
      </c>
    </row>
    <row r="47" spans="1:12" ht="14.25">
      <c r="A47" s="125" t="str">
        <f>HLOOKUP(INDICE!$F$2,Nombres!$C$3:$F$853,144)</f>
        <v xml:space="preserve">   Mexico</v>
      </c>
      <c r="B47" s="82">
        <v>11534</v>
      </c>
      <c r="C47" s="82">
        <v>11583</v>
      </c>
      <c r="D47" s="82">
        <v>11519</v>
      </c>
      <c r="E47" s="82">
        <v>11724</v>
      </c>
      <c r="F47" s="82">
        <v>11798</v>
      </c>
      <c r="G47" s="82">
        <v>11924</v>
      </c>
      <c r="H47" s="82">
        <v>12130</v>
      </c>
    </row>
    <row r="48" spans="1:12" ht="14.25">
      <c r="A48" s="125" t="str">
        <f>HLOOKUP(INDICE!$F$2,Nombres!$C$3:$F$853,145)</f>
        <v xml:space="preserve">   The United States</v>
      </c>
      <c r="B48" s="82">
        <v>1040</v>
      </c>
      <c r="C48" s="82">
        <v>1022</v>
      </c>
      <c r="D48" s="82">
        <v>999</v>
      </c>
      <c r="E48" s="82">
        <v>966</v>
      </c>
      <c r="F48" s="82">
        <v>867</v>
      </c>
      <c r="G48" s="82">
        <v>802</v>
      </c>
      <c r="H48" s="82">
        <v>804</v>
      </c>
    </row>
    <row r="49" spans="1:11" ht="14.25">
      <c r="A49" s="125" t="str">
        <f>HLOOKUP(INDICE!$F$2,Nombres!$C$3:$F$853,146)</f>
        <v xml:space="preserve">   Argentina</v>
      </c>
      <c r="B49" s="82">
        <v>1280</v>
      </c>
      <c r="C49" s="82">
        <v>1353</v>
      </c>
      <c r="D49" s="82">
        <v>1447</v>
      </c>
      <c r="E49" s="82">
        <v>1547</v>
      </c>
      <c r="F49" s="82">
        <v>1564</v>
      </c>
      <c r="G49" s="82">
        <v>1577</v>
      </c>
      <c r="H49" s="82">
        <v>1617</v>
      </c>
    </row>
    <row r="50" spans="1:11" ht="14.25">
      <c r="A50" s="125" t="str">
        <f>HLOOKUP(INDICE!$F$2,Nombres!$C$3:$F$853,147)</f>
        <v xml:space="preserve">   Colombia</v>
      </c>
      <c r="B50" s="82">
        <v>1338</v>
      </c>
      <c r="C50" s="82">
        <v>1345</v>
      </c>
      <c r="D50" s="82">
        <v>1350</v>
      </c>
      <c r="E50" s="82">
        <v>1353</v>
      </c>
      <c r="F50" s="82">
        <v>1339</v>
      </c>
      <c r="G50" s="82">
        <v>1335</v>
      </c>
      <c r="H50" s="82">
        <v>1343</v>
      </c>
    </row>
    <row r="51" spans="1:11" ht="14.25">
      <c r="A51" s="125" t="str">
        <f>HLOOKUP(INDICE!$F$2,Nombres!$C$3:$F$853,148)</f>
        <v xml:space="preserve">   Venezuela</v>
      </c>
      <c r="B51" s="82">
        <v>1983</v>
      </c>
      <c r="C51" s="82">
        <v>1984</v>
      </c>
      <c r="D51" s="82">
        <v>1994</v>
      </c>
      <c r="E51" s="82">
        <v>1987</v>
      </c>
      <c r="F51" s="82">
        <v>1967</v>
      </c>
      <c r="G51" s="82">
        <v>1844</v>
      </c>
      <c r="H51" s="82">
        <v>1835</v>
      </c>
      <c r="K51" s="144"/>
    </row>
    <row r="52" spans="1:11" ht="14.25">
      <c r="A52" s="125" t="str">
        <f>HLOOKUP(INDICE!$F$2,Nombres!$C$3:$F$853,149)</f>
        <v xml:space="preserve">   Peru</v>
      </c>
      <c r="B52" s="82">
        <v>1848</v>
      </c>
      <c r="C52" s="82">
        <v>1877</v>
      </c>
      <c r="D52" s="82">
        <v>1928</v>
      </c>
      <c r="E52" s="82">
        <v>1968</v>
      </c>
      <c r="F52" s="82">
        <v>1965</v>
      </c>
      <c r="G52" s="82">
        <v>1949</v>
      </c>
      <c r="H52" s="82">
        <v>1945</v>
      </c>
      <c r="K52" s="144"/>
    </row>
    <row r="53" spans="1:11" ht="14.25">
      <c r="A53" s="125" t="str">
        <f>HLOOKUP(INDICE!$F$2,Nombres!$C$3:$F$853,150)</f>
        <v xml:space="preserve">   Chile</v>
      </c>
      <c r="B53" s="82">
        <v>437</v>
      </c>
      <c r="C53" s="82">
        <v>431</v>
      </c>
      <c r="D53" s="82">
        <v>427</v>
      </c>
      <c r="E53" s="82">
        <v>412</v>
      </c>
      <c r="F53" s="82">
        <v>431</v>
      </c>
      <c r="G53" s="82">
        <v>431</v>
      </c>
      <c r="H53" s="82" t="s">
        <v>743</v>
      </c>
      <c r="K53" s="144"/>
    </row>
    <row r="54" spans="1:11" ht="14.25">
      <c r="A54" s="125" t="str">
        <f>HLOOKUP(INDICE!$F$2,Nombres!$C$3:$F$853,152)</f>
        <v xml:space="preserve">   Paraguay</v>
      </c>
      <c r="B54" s="82">
        <v>44</v>
      </c>
      <c r="C54" s="82">
        <v>44</v>
      </c>
      <c r="D54" s="82">
        <v>44</v>
      </c>
      <c r="E54" s="82">
        <v>45</v>
      </c>
      <c r="F54" s="82">
        <v>46</v>
      </c>
      <c r="G54" s="82">
        <v>48</v>
      </c>
      <c r="H54" s="82">
        <v>49</v>
      </c>
      <c r="K54" s="144"/>
    </row>
    <row r="55" spans="1:11" ht="14.25">
      <c r="A55" s="125" t="str">
        <f>HLOOKUP(INDICE!$F$2,Nombres!$C$3:$F$853,153)</f>
        <v xml:space="preserve">   Uruguay</v>
      </c>
      <c r="B55" s="82">
        <v>64</v>
      </c>
      <c r="C55" s="82">
        <v>64</v>
      </c>
      <c r="D55" s="82">
        <v>64</v>
      </c>
      <c r="E55" s="82">
        <v>64</v>
      </c>
      <c r="F55" s="82">
        <v>62</v>
      </c>
      <c r="G55" s="82">
        <v>62</v>
      </c>
      <c r="H55" s="82">
        <v>56</v>
      </c>
    </row>
    <row r="56" spans="1:11" ht="14.25">
      <c r="A56" s="139" t="str">
        <f>HLOOKUP(INDICE!$F$2,Nombres!$C$3:$F$853,157)</f>
        <v>Total</v>
      </c>
      <c r="B56" s="77">
        <v>31185</v>
      </c>
      <c r="C56" s="77">
        <f>SUM(C43:C46)</f>
        <v>31194</v>
      </c>
      <c r="D56" s="77">
        <f>SUM(D43:D46)</f>
        <v>31214</v>
      </c>
      <c r="E56" s="77">
        <f>SUM(E43:E46)</f>
        <v>31688</v>
      </c>
      <c r="F56" s="77">
        <v>31602</v>
      </c>
      <c r="G56" s="77">
        <f>SUM(G43:G46)</f>
        <v>31530</v>
      </c>
      <c r="H56" s="77">
        <v>31396</v>
      </c>
    </row>
    <row r="57" spans="1:11" ht="14.25">
      <c r="A57" s="131"/>
      <c r="B57" s="147"/>
      <c r="C57" s="147"/>
      <c r="D57" s="147"/>
      <c r="E57" s="147"/>
      <c r="F57" s="147"/>
      <c r="G57" s="147"/>
      <c r="H57" s="147"/>
    </row>
    <row r="58" spans="1:11" ht="14.25">
      <c r="A58" s="131"/>
      <c r="B58" s="131"/>
      <c r="C58" s="131"/>
      <c r="D58" s="131"/>
      <c r="E58" s="131"/>
      <c r="F58" s="131"/>
      <c r="G58" s="131"/>
      <c r="H58" s="131"/>
    </row>
    <row r="59" spans="1:11" ht="14.25">
      <c r="A59" s="131"/>
      <c r="B59" s="147"/>
      <c r="C59" s="131"/>
      <c r="D59" s="131"/>
      <c r="E59" s="131"/>
      <c r="F59" s="131"/>
      <c r="G59" s="131"/>
      <c r="H59" s="131"/>
    </row>
    <row r="60" spans="1:11" ht="14.25">
      <c r="A60" s="131"/>
      <c r="B60" s="131"/>
      <c r="C60" s="131"/>
      <c r="D60" s="131"/>
      <c r="E60" s="131"/>
      <c r="F60" s="131"/>
      <c r="G60" s="131"/>
      <c r="H60" s="131"/>
    </row>
    <row r="61" spans="1:11" ht="14.25">
      <c r="A61" s="131"/>
      <c r="B61" s="131"/>
      <c r="C61" s="131"/>
      <c r="D61" s="131"/>
      <c r="E61" s="131"/>
      <c r="F61" s="131"/>
      <c r="G61" s="131"/>
      <c r="H61" s="131"/>
    </row>
    <row r="62" spans="1:11" ht="14.25">
      <c r="A62" s="131"/>
      <c r="B62" s="131"/>
      <c r="C62" s="131"/>
      <c r="D62" s="131"/>
      <c r="E62" s="131"/>
      <c r="F62" s="131"/>
      <c r="G62" s="131"/>
      <c r="H62" s="131"/>
    </row>
    <row r="63" spans="1:11" ht="14.25">
      <c r="A63" s="131"/>
      <c r="B63" s="131"/>
      <c r="C63" s="131"/>
      <c r="D63" s="131"/>
      <c r="E63" s="131"/>
      <c r="F63" s="131"/>
      <c r="G63" s="131"/>
      <c r="H63" s="131"/>
    </row>
    <row r="64" spans="1:11" ht="14.25">
      <c r="A64" s="131"/>
      <c r="B64" s="131"/>
      <c r="C64" s="131"/>
      <c r="D64" s="131"/>
      <c r="E64" s="131"/>
      <c r="F64" s="131"/>
      <c r="G64" s="131"/>
      <c r="H64" s="131"/>
    </row>
    <row r="65" spans="1:8" ht="14.25">
      <c r="A65" s="131"/>
      <c r="B65" s="131"/>
      <c r="C65" s="131"/>
      <c r="D65" s="131"/>
      <c r="E65" s="131"/>
      <c r="F65" s="131"/>
      <c r="G65" s="131"/>
      <c r="H65" s="131"/>
    </row>
    <row r="66" spans="1:8" ht="14.25">
      <c r="A66" s="131"/>
      <c r="B66" s="131"/>
      <c r="C66" s="131"/>
      <c r="D66" s="131"/>
      <c r="E66" s="131"/>
      <c r="F66" s="131"/>
      <c r="G66" s="131"/>
      <c r="H66" s="131"/>
    </row>
    <row r="67" spans="1:8" ht="14.25">
      <c r="A67" s="131"/>
      <c r="B67" s="131"/>
      <c r="C67" s="131"/>
      <c r="D67" s="131"/>
      <c r="E67" s="131"/>
      <c r="F67" s="131"/>
      <c r="G67" s="131"/>
      <c r="H67" s="131"/>
    </row>
    <row r="68" spans="1:8" ht="14.25">
      <c r="A68" s="131"/>
      <c r="B68" s="131"/>
      <c r="C68" s="131"/>
      <c r="D68" s="131"/>
      <c r="E68" s="131"/>
      <c r="F68" s="131"/>
      <c r="G68" s="131"/>
      <c r="H68" s="131"/>
    </row>
    <row r="69" spans="1:8" ht="14.25">
      <c r="A69" s="131"/>
      <c r="B69" s="131"/>
      <c r="C69" s="131"/>
      <c r="D69" s="131"/>
      <c r="E69" s="131"/>
      <c r="F69" s="131"/>
      <c r="G69" s="131"/>
      <c r="H69" s="131"/>
    </row>
    <row r="70" spans="1:8" ht="14.25">
      <c r="A70" s="131"/>
      <c r="B70" s="131"/>
      <c r="C70" s="131"/>
      <c r="D70" s="131"/>
      <c r="E70" s="131"/>
      <c r="F70" s="131"/>
      <c r="G70" s="131"/>
      <c r="H70" s="131"/>
    </row>
    <row r="71" spans="1:8" ht="14.25">
      <c r="A71" s="131"/>
      <c r="B71" s="131"/>
      <c r="C71" s="131"/>
      <c r="D71" s="131"/>
      <c r="E71" s="131"/>
      <c r="F71" s="131"/>
      <c r="G71" s="131"/>
      <c r="H71" s="131"/>
    </row>
    <row r="72" spans="1:8" ht="14.25">
      <c r="A72" s="131"/>
      <c r="B72" s="131"/>
      <c r="C72" s="131"/>
      <c r="D72" s="131"/>
      <c r="E72" s="131"/>
      <c r="F72" s="131"/>
      <c r="G72" s="131"/>
      <c r="H72" s="131"/>
    </row>
    <row r="73" spans="1:8" ht="14.25">
      <c r="A73" s="131"/>
      <c r="B73" s="131"/>
      <c r="C73" s="131"/>
      <c r="D73" s="131"/>
      <c r="E73" s="131"/>
      <c r="F73" s="131"/>
      <c r="G73" s="131"/>
      <c r="H73" s="131"/>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zoomScale="85" zoomScaleNormal="85" workbookViewId="0"/>
  </sheetViews>
  <sheetFormatPr baseColWidth="10" defaultColWidth="12.5703125" defaultRowHeight="12.75"/>
  <cols>
    <col min="1" max="1" width="39.42578125" style="110" customWidth="1"/>
    <col min="2" max="3" width="16.140625" style="110" customWidth="1"/>
    <col min="4" max="4" width="14.140625" style="110" customWidth="1"/>
    <col min="5" max="5" width="2" style="110" customWidth="1"/>
    <col min="6" max="6" width="3.7109375" style="110" customWidth="1"/>
    <col min="7" max="7" width="16.140625" style="110" customWidth="1"/>
    <col min="8" max="8" width="14.140625" style="110" customWidth="1"/>
    <col min="9" max="9" width="12.5703125" style="109" customWidth="1"/>
    <col min="10" max="256" width="12.5703125" style="110"/>
    <col min="257" max="257" width="39.42578125" style="110" customWidth="1"/>
    <col min="258" max="259" width="16.140625" style="110" customWidth="1"/>
    <col min="260" max="260" width="14.140625" style="110" customWidth="1"/>
    <col min="261" max="261" width="2" style="110" customWidth="1"/>
    <col min="262" max="262" width="3.7109375" style="110" customWidth="1"/>
    <col min="263" max="263" width="16.140625" style="110" customWidth="1"/>
    <col min="264" max="264" width="14.140625" style="110" customWidth="1"/>
    <col min="265" max="265" width="12.5703125" style="110" customWidth="1"/>
    <col min="266" max="512" width="12.5703125" style="110"/>
    <col min="513" max="513" width="39.42578125" style="110" customWidth="1"/>
    <col min="514" max="515" width="16.140625" style="110" customWidth="1"/>
    <col min="516" max="516" width="14.140625" style="110" customWidth="1"/>
    <col min="517" max="517" width="2" style="110" customWidth="1"/>
    <col min="518" max="518" width="3.7109375" style="110" customWidth="1"/>
    <col min="519" max="519" width="16.140625" style="110" customWidth="1"/>
    <col min="520" max="520" width="14.140625" style="110" customWidth="1"/>
    <col min="521" max="521" width="12.5703125" style="110" customWidth="1"/>
    <col min="522" max="768" width="12.5703125" style="110"/>
    <col min="769" max="769" width="39.42578125" style="110" customWidth="1"/>
    <col min="770" max="771" width="16.140625" style="110" customWidth="1"/>
    <col min="772" max="772" width="14.140625" style="110" customWidth="1"/>
    <col min="773" max="773" width="2" style="110" customWidth="1"/>
    <col min="774" max="774" width="3.7109375" style="110" customWidth="1"/>
    <col min="775" max="775" width="16.140625" style="110" customWidth="1"/>
    <col min="776" max="776" width="14.140625" style="110" customWidth="1"/>
    <col min="777" max="777" width="12.5703125" style="110" customWidth="1"/>
    <col min="778" max="1024" width="12.5703125" style="110"/>
    <col min="1025" max="1025" width="39.42578125" style="110" customWidth="1"/>
    <col min="1026" max="1027" width="16.140625" style="110" customWidth="1"/>
    <col min="1028" max="1028" width="14.140625" style="110" customWidth="1"/>
    <col min="1029" max="1029" width="2" style="110" customWidth="1"/>
    <col min="1030" max="1030" width="3.7109375" style="110" customWidth="1"/>
    <col min="1031" max="1031" width="16.140625" style="110" customWidth="1"/>
    <col min="1032" max="1032" width="14.140625" style="110" customWidth="1"/>
    <col min="1033" max="1033" width="12.5703125" style="110" customWidth="1"/>
    <col min="1034" max="1280" width="12.5703125" style="110"/>
    <col min="1281" max="1281" width="39.42578125" style="110" customWidth="1"/>
    <col min="1282" max="1283" width="16.140625" style="110" customWidth="1"/>
    <col min="1284" max="1284" width="14.140625" style="110" customWidth="1"/>
    <col min="1285" max="1285" width="2" style="110" customWidth="1"/>
    <col min="1286" max="1286" width="3.7109375" style="110" customWidth="1"/>
    <col min="1287" max="1287" width="16.140625" style="110" customWidth="1"/>
    <col min="1288" max="1288" width="14.140625" style="110" customWidth="1"/>
    <col min="1289" max="1289" width="12.5703125" style="110" customWidth="1"/>
    <col min="1290" max="1536" width="12.5703125" style="110"/>
    <col min="1537" max="1537" width="39.42578125" style="110" customWidth="1"/>
    <col min="1538" max="1539" width="16.140625" style="110" customWidth="1"/>
    <col min="1540" max="1540" width="14.140625" style="110" customWidth="1"/>
    <col min="1541" max="1541" width="2" style="110" customWidth="1"/>
    <col min="1542" max="1542" width="3.7109375" style="110" customWidth="1"/>
    <col min="1543" max="1543" width="16.140625" style="110" customWidth="1"/>
    <col min="1544" max="1544" width="14.140625" style="110" customWidth="1"/>
    <col min="1545" max="1545" width="12.5703125" style="110" customWidth="1"/>
    <col min="1546" max="1792" width="12.5703125" style="110"/>
    <col min="1793" max="1793" width="39.42578125" style="110" customWidth="1"/>
    <col min="1794" max="1795" width="16.140625" style="110" customWidth="1"/>
    <col min="1796" max="1796" width="14.140625" style="110" customWidth="1"/>
    <col min="1797" max="1797" width="2" style="110" customWidth="1"/>
    <col min="1798" max="1798" width="3.7109375" style="110" customWidth="1"/>
    <col min="1799" max="1799" width="16.140625" style="110" customWidth="1"/>
    <col min="1800" max="1800" width="14.140625" style="110" customWidth="1"/>
    <col min="1801" max="1801" width="12.5703125" style="110" customWidth="1"/>
    <col min="1802" max="2048" width="12.5703125" style="110"/>
    <col min="2049" max="2049" width="39.42578125" style="110" customWidth="1"/>
    <col min="2050" max="2051" width="16.140625" style="110" customWidth="1"/>
    <col min="2052" max="2052" width="14.140625" style="110" customWidth="1"/>
    <col min="2053" max="2053" width="2" style="110" customWidth="1"/>
    <col min="2054" max="2054" width="3.7109375" style="110" customWidth="1"/>
    <col min="2055" max="2055" width="16.140625" style="110" customWidth="1"/>
    <col min="2056" max="2056" width="14.140625" style="110" customWidth="1"/>
    <col min="2057" max="2057" width="12.5703125" style="110" customWidth="1"/>
    <col min="2058" max="2304" width="12.5703125" style="110"/>
    <col min="2305" max="2305" width="39.42578125" style="110" customWidth="1"/>
    <col min="2306" max="2307" width="16.140625" style="110" customWidth="1"/>
    <col min="2308" max="2308" width="14.140625" style="110" customWidth="1"/>
    <col min="2309" max="2309" width="2" style="110" customWidth="1"/>
    <col min="2310" max="2310" width="3.7109375" style="110" customWidth="1"/>
    <col min="2311" max="2311" width="16.140625" style="110" customWidth="1"/>
    <col min="2312" max="2312" width="14.140625" style="110" customWidth="1"/>
    <col min="2313" max="2313" width="12.5703125" style="110" customWidth="1"/>
    <col min="2314" max="2560" width="12.5703125" style="110"/>
    <col min="2561" max="2561" width="39.42578125" style="110" customWidth="1"/>
    <col min="2562" max="2563" width="16.140625" style="110" customWidth="1"/>
    <col min="2564" max="2564" width="14.140625" style="110" customWidth="1"/>
    <col min="2565" max="2565" width="2" style="110" customWidth="1"/>
    <col min="2566" max="2566" width="3.7109375" style="110" customWidth="1"/>
    <col min="2567" max="2567" width="16.140625" style="110" customWidth="1"/>
    <col min="2568" max="2568" width="14.140625" style="110" customWidth="1"/>
    <col min="2569" max="2569" width="12.5703125" style="110" customWidth="1"/>
    <col min="2570" max="2816" width="12.5703125" style="110"/>
    <col min="2817" max="2817" width="39.42578125" style="110" customWidth="1"/>
    <col min="2818" max="2819" width="16.140625" style="110" customWidth="1"/>
    <col min="2820" max="2820" width="14.140625" style="110" customWidth="1"/>
    <col min="2821" max="2821" width="2" style="110" customWidth="1"/>
    <col min="2822" max="2822" width="3.7109375" style="110" customWidth="1"/>
    <col min="2823" max="2823" width="16.140625" style="110" customWidth="1"/>
    <col min="2824" max="2824" width="14.140625" style="110" customWidth="1"/>
    <col min="2825" max="2825" width="12.5703125" style="110" customWidth="1"/>
    <col min="2826" max="3072" width="12.5703125" style="110"/>
    <col min="3073" max="3073" width="39.42578125" style="110" customWidth="1"/>
    <col min="3074" max="3075" width="16.140625" style="110" customWidth="1"/>
    <col min="3076" max="3076" width="14.140625" style="110" customWidth="1"/>
    <col min="3077" max="3077" width="2" style="110" customWidth="1"/>
    <col min="3078" max="3078" width="3.7109375" style="110" customWidth="1"/>
    <col min="3079" max="3079" width="16.140625" style="110" customWidth="1"/>
    <col min="3080" max="3080" width="14.140625" style="110" customWidth="1"/>
    <col min="3081" max="3081" width="12.5703125" style="110" customWidth="1"/>
    <col min="3082" max="3328" width="12.5703125" style="110"/>
    <col min="3329" max="3329" width="39.42578125" style="110" customWidth="1"/>
    <col min="3330" max="3331" width="16.140625" style="110" customWidth="1"/>
    <col min="3332" max="3332" width="14.140625" style="110" customWidth="1"/>
    <col min="3333" max="3333" width="2" style="110" customWidth="1"/>
    <col min="3334" max="3334" width="3.7109375" style="110" customWidth="1"/>
    <col min="3335" max="3335" width="16.140625" style="110" customWidth="1"/>
    <col min="3336" max="3336" width="14.140625" style="110" customWidth="1"/>
    <col min="3337" max="3337" width="12.5703125" style="110" customWidth="1"/>
    <col min="3338" max="3584" width="12.5703125" style="110"/>
    <col min="3585" max="3585" width="39.42578125" style="110" customWidth="1"/>
    <col min="3586" max="3587" width="16.140625" style="110" customWidth="1"/>
    <col min="3588" max="3588" width="14.140625" style="110" customWidth="1"/>
    <col min="3589" max="3589" width="2" style="110" customWidth="1"/>
    <col min="3590" max="3590" width="3.7109375" style="110" customWidth="1"/>
    <col min="3591" max="3591" width="16.140625" style="110" customWidth="1"/>
    <col min="3592" max="3592" width="14.140625" style="110" customWidth="1"/>
    <col min="3593" max="3593" width="12.5703125" style="110" customWidth="1"/>
    <col min="3594" max="3840" width="12.5703125" style="110"/>
    <col min="3841" max="3841" width="39.42578125" style="110" customWidth="1"/>
    <col min="3842" max="3843" width="16.140625" style="110" customWidth="1"/>
    <col min="3844" max="3844" width="14.140625" style="110" customWidth="1"/>
    <col min="3845" max="3845" width="2" style="110" customWidth="1"/>
    <col min="3846" max="3846" width="3.7109375" style="110" customWidth="1"/>
    <col min="3847" max="3847" width="16.140625" style="110" customWidth="1"/>
    <col min="3848" max="3848" width="14.140625" style="110" customWidth="1"/>
    <col min="3849" max="3849" width="12.5703125" style="110" customWidth="1"/>
    <col min="3850" max="4096" width="12.5703125" style="110"/>
    <col min="4097" max="4097" width="39.42578125" style="110" customWidth="1"/>
    <col min="4098" max="4099" width="16.140625" style="110" customWidth="1"/>
    <col min="4100" max="4100" width="14.140625" style="110" customWidth="1"/>
    <col min="4101" max="4101" width="2" style="110" customWidth="1"/>
    <col min="4102" max="4102" width="3.7109375" style="110" customWidth="1"/>
    <col min="4103" max="4103" width="16.140625" style="110" customWidth="1"/>
    <col min="4104" max="4104" width="14.140625" style="110" customWidth="1"/>
    <col min="4105" max="4105" width="12.5703125" style="110" customWidth="1"/>
    <col min="4106" max="4352" width="12.5703125" style="110"/>
    <col min="4353" max="4353" width="39.42578125" style="110" customWidth="1"/>
    <col min="4354" max="4355" width="16.140625" style="110" customWidth="1"/>
    <col min="4356" max="4356" width="14.140625" style="110" customWidth="1"/>
    <col min="4357" max="4357" width="2" style="110" customWidth="1"/>
    <col min="4358" max="4358" width="3.7109375" style="110" customWidth="1"/>
    <col min="4359" max="4359" width="16.140625" style="110" customWidth="1"/>
    <col min="4360" max="4360" width="14.140625" style="110" customWidth="1"/>
    <col min="4361" max="4361" width="12.5703125" style="110" customWidth="1"/>
    <col min="4362" max="4608" width="12.5703125" style="110"/>
    <col min="4609" max="4609" width="39.42578125" style="110" customWidth="1"/>
    <col min="4610" max="4611" width="16.140625" style="110" customWidth="1"/>
    <col min="4612" max="4612" width="14.140625" style="110" customWidth="1"/>
    <col min="4613" max="4613" width="2" style="110" customWidth="1"/>
    <col min="4614" max="4614" width="3.7109375" style="110" customWidth="1"/>
    <col min="4615" max="4615" width="16.140625" style="110" customWidth="1"/>
    <col min="4616" max="4616" width="14.140625" style="110" customWidth="1"/>
    <col min="4617" max="4617" width="12.5703125" style="110" customWidth="1"/>
    <col min="4618" max="4864" width="12.5703125" style="110"/>
    <col min="4865" max="4865" width="39.42578125" style="110" customWidth="1"/>
    <col min="4866" max="4867" width="16.140625" style="110" customWidth="1"/>
    <col min="4868" max="4868" width="14.140625" style="110" customWidth="1"/>
    <col min="4869" max="4869" width="2" style="110" customWidth="1"/>
    <col min="4870" max="4870" width="3.7109375" style="110" customWidth="1"/>
    <col min="4871" max="4871" width="16.140625" style="110" customWidth="1"/>
    <col min="4872" max="4872" width="14.140625" style="110" customWidth="1"/>
    <col min="4873" max="4873" width="12.5703125" style="110" customWidth="1"/>
    <col min="4874" max="5120" width="12.5703125" style="110"/>
    <col min="5121" max="5121" width="39.42578125" style="110" customWidth="1"/>
    <col min="5122" max="5123" width="16.140625" style="110" customWidth="1"/>
    <col min="5124" max="5124" width="14.140625" style="110" customWidth="1"/>
    <col min="5125" max="5125" width="2" style="110" customWidth="1"/>
    <col min="5126" max="5126" width="3.7109375" style="110" customWidth="1"/>
    <col min="5127" max="5127" width="16.140625" style="110" customWidth="1"/>
    <col min="5128" max="5128" width="14.140625" style="110" customWidth="1"/>
    <col min="5129" max="5129" width="12.5703125" style="110" customWidth="1"/>
    <col min="5130" max="5376" width="12.5703125" style="110"/>
    <col min="5377" max="5377" width="39.42578125" style="110" customWidth="1"/>
    <col min="5378" max="5379" width="16.140625" style="110" customWidth="1"/>
    <col min="5380" max="5380" width="14.140625" style="110" customWidth="1"/>
    <col min="5381" max="5381" width="2" style="110" customWidth="1"/>
    <col min="5382" max="5382" width="3.7109375" style="110" customWidth="1"/>
    <col min="5383" max="5383" width="16.140625" style="110" customWidth="1"/>
    <col min="5384" max="5384" width="14.140625" style="110" customWidth="1"/>
    <col min="5385" max="5385" width="12.5703125" style="110" customWidth="1"/>
    <col min="5386" max="5632" width="12.5703125" style="110"/>
    <col min="5633" max="5633" width="39.42578125" style="110" customWidth="1"/>
    <col min="5634" max="5635" width="16.140625" style="110" customWidth="1"/>
    <col min="5636" max="5636" width="14.140625" style="110" customWidth="1"/>
    <col min="5637" max="5637" width="2" style="110" customWidth="1"/>
    <col min="5638" max="5638" width="3.7109375" style="110" customWidth="1"/>
    <col min="5639" max="5639" width="16.140625" style="110" customWidth="1"/>
    <col min="5640" max="5640" width="14.140625" style="110" customWidth="1"/>
    <col min="5641" max="5641" width="12.5703125" style="110" customWidth="1"/>
    <col min="5642" max="5888" width="12.5703125" style="110"/>
    <col min="5889" max="5889" width="39.42578125" style="110" customWidth="1"/>
    <col min="5890" max="5891" width="16.140625" style="110" customWidth="1"/>
    <col min="5892" max="5892" width="14.140625" style="110" customWidth="1"/>
    <col min="5893" max="5893" width="2" style="110" customWidth="1"/>
    <col min="5894" max="5894" width="3.7109375" style="110" customWidth="1"/>
    <col min="5895" max="5895" width="16.140625" style="110" customWidth="1"/>
    <col min="5896" max="5896" width="14.140625" style="110" customWidth="1"/>
    <col min="5897" max="5897" width="12.5703125" style="110" customWidth="1"/>
    <col min="5898" max="6144" width="12.5703125" style="110"/>
    <col min="6145" max="6145" width="39.42578125" style="110" customWidth="1"/>
    <col min="6146" max="6147" width="16.140625" style="110" customWidth="1"/>
    <col min="6148" max="6148" width="14.140625" style="110" customWidth="1"/>
    <col min="6149" max="6149" width="2" style="110" customWidth="1"/>
    <col min="6150" max="6150" width="3.7109375" style="110" customWidth="1"/>
    <col min="6151" max="6151" width="16.140625" style="110" customWidth="1"/>
    <col min="6152" max="6152" width="14.140625" style="110" customWidth="1"/>
    <col min="6153" max="6153" width="12.5703125" style="110" customWidth="1"/>
    <col min="6154" max="6400" width="12.5703125" style="110"/>
    <col min="6401" max="6401" width="39.42578125" style="110" customWidth="1"/>
    <col min="6402" max="6403" width="16.140625" style="110" customWidth="1"/>
    <col min="6404" max="6404" width="14.140625" style="110" customWidth="1"/>
    <col min="6405" max="6405" width="2" style="110" customWidth="1"/>
    <col min="6406" max="6406" width="3.7109375" style="110" customWidth="1"/>
    <col min="6407" max="6407" width="16.140625" style="110" customWidth="1"/>
    <col min="6408" max="6408" width="14.140625" style="110" customWidth="1"/>
    <col min="6409" max="6409" width="12.5703125" style="110" customWidth="1"/>
    <col min="6410" max="6656" width="12.5703125" style="110"/>
    <col min="6657" max="6657" width="39.42578125" style="110" customWidth="1"/>
    <col min="6658" max="6659" width="16.140625" style="110" customWidth="1"/>
    <col min="6660" max="6660" width="14.140625" style="110" customWidth="1"/>
    <col min="6661" max="6661" width="2" style="110" customWidth="1"/>
    <col min="6662" max="6662" width="3.7109375" style="110" customWidth="1"/>
    <col min="6663" max="6663" width="16.140625" style="110" customWidth="1"/>
    <col min="6664" max="6664" width="14.140625" style="110" customWidth="1"/>
    <col min="6665" max="6665" width="12.5703125" style="110" customWidth="1"/>
    <col min="6666" max="6912" width="12.5703125" style="110"/>
    <col min="6913" max="6913" width="39.42578125" style="110" customWidth="1"/>
    <col min="6914" max="6915" width="16.140625" style="110" customWidth="1"/>
    <col min="6916" max="6916" width="14.140625" style="110" customWidth="1"/>
    <col min="6917" max="6917" width="2" style="110" customWidth="1"/>
    <col min="6918" max="6918" width="3.7109375" style="110" customWidth="1"/>
    <col min="6919" max="6919" width="16.140625" style="110" customWidth="1"/>
    <col min="6920" max="6920" width="14.140625" style="110" customWidth="1"/>
    <col min="6921" max="6921" width="12.5703125" style="110" customWidth="1"/>
    <col min="6922" max="7168" width="12.5703125" style="110"/>
    <col min="7169" max="7169" width="39.42578125" style="110" customWidth="1"/>
    <col min="7170" max="7171" width="16.140625" style="110" customWidth="1"/>
    <col min="7172" max="7172" width="14.140625" style="110" customWidth="1"/>
    <col min="7173" max="7173" width="2" style="110" customWidth="1"/>
    <col min="7174" max="7174" width="3.7109375" style="110" customWidth="1"/>
    <col min="7175" max="7175" width="16.140625" style="110" customWidth="1"/>
    <col min="7176" max="7176" width="14.140625" style="110" customWidth="1"/>
    <col min="7177" max="7177" width="12.5703125" style="110" customWidth="1"/>
    <col min="7178" max="7424" width="12.5703125" style="110"/>
    <col min="7425" max="7425" width="39.42578125" style="110" customWidth="1"/>
    <col min="7426" max="7427" width="16.140625" style="110" customWidth="1"/>
    <col min="7428" max="7428" width="14.140625" style="110" customWidth="1"/>
    <col min="7429" max="7429" width="2" style="110" customWidth="1"/>
    <col min="7430" max="7430" width="3.7109375" style="110" customWidth="1"/>
    <col min="7431" max="7431" width="16.140625" style="110" customWidth="1"/>
    <col min="7432" max="7432" width="14.140625" style="110" customWidth="1"/>
    <col min="7433" max="7433" width="12.5703125" style="110" customWidth="1"/>
    <col min="7434" max="7680" width="12.5703125" style="110"/>
    <col min="7681" max="7681" width="39.42578125" style="110" customWidth="1"/>
    <col min="7682" max="7683" width="16.140625" style="110" customWidth="1"/>
    <col min="7684" max="7684" width="14.140625" style="110" customWidth="1"/>
    <col min="7685" max="7685" width="2" style="110" customWidth="1"/>
    <col min="7686" max="7686" width="3.7109375" style="110" customWidth="1"/>
    <col min="7687" max="7687" width="16.140625" style="110" customWidth="1"/>
    <col min="7688" max="7688" width="14.140625" style="110" customWidth="1"/>
    <col min="7689" max="7689" width="12.5703125" style="110" customWidth="1"/>
    <col min="7690" max="7936" width="12.5703125" style="110"/>
    <col min="7937" max="7937" width="39.42578125" style="110" customWidth="1"/>
    <col min="7938" max="7939" width="16.140625" style="110" customWidth="1"/>
    <col min="7940" max="7940" width="14.140625" style="110" customWidth="1"/>
    <col min="7941" max="7941" width="2" style="110" customWidth="1"/>
    <col min="7942" max="7942" width="3.7109375" style="110" customWidth="1"/>
    <col min="7943" max="7943" width="16.140625" style="110" customWidth="1"/>
    <col min="7944" max="7944" width="14.140625" style="110" customWidth="1"/>
    <col min="7945" max="7945" width="12.5703125" style="110" customWidth="1"/>
    <col min="7946" max="8192" width="12.5703125" style="110"/>
    <col min="8193" max="8193" width="39.42578125" style="110" customWidth="1"/>
    <col min="8194" max="8195" width="16.140625" style="110" customWidth="1"/>
    <col min="8196" max="8196" width="14.140625" style="110" customWidth="1"/>
    <col min="8197" max="8197" width="2" style="110" customWidth="1"/>
    <col min="8198" max="8198" width="3.7109375" style="110" customWidth="1"/>
    <col min="8199" max="8199" width="16.140625" style="110" customWidth="1"/>
    <col min="8200" max="8200" width="14.140625" style="110" customWidth="1"/>
    <col min="8201" max="8201" width="12.5703125" style="110" customWidth="1"/>
    <col min="8202" max="8448" width="12.5703125" style="110"/>
    <col min="8449" max="8449" width="39.42578125" style="110" customWidth="1"/>
    <col min="8450" max="8451" width="16.140625" style="110" customWidth="1"/>
    <col min="8452" max="8452" width="14.140625" style="110" customWidth="1"/>
    <col min="8453" max="8453" width="2" style="110" customWidth="1"/>
    <col min="8454" max="8454" width="3.7109375" style="110" customWidth="1"/>
    <col min="8455" max="8455" width="16.140625" style="110" customWidth="1"/>
    <col min="8456" max="8456" width="14.140625" style="110" customWidth="1"/>
    <col min="8457" max="8457" width="12.5703125" style="110" customWidth="1"/>
    <col min="8458" max="8704" width="12.5703125" style="110"/>
    <col min="8705" max="8705" width="39.42578125" style="110" customWidth="1"/>
    <col min="8706" max="8707" width="16.140625" style="110" customWidth="1"/>
    <col min="8708" max="8708" width="14.140625" style="110" customWidth="1"/>
    <col min="8709" max="8709" width="2" style="110" customWidth="1"/>
    <col min="8710" max="8710" width="3.7109375" style="110" customWidth="1"/>
    <col min="8711" max="8711" width="16.140625" style="110" customWidth="1"/>
    <col min="8712" max="8712" width="14.140625" style="110" customWidth="1"/>
    <col min="8713" max="8713" width="12.5703125" style="110" customWidth="1"/>
    <col min="8714" max="8960" width="12.5703125" style="110"/>
    <col min="8961" max="8961" width="39.42578125" style="110" customWidth="1"/>
    <col min="8962" max="8963" width="16.140625" style="110" customWidth="1"/>
    <col min="8964" max="8964" width="14.140625" style="110" customWidth="1"/>
    <col min="8965" max="8965" width="2" style="110" customWidth="1"/>
    <col min="8966" max="8966" width="3.7109375" style="110" customWidth="1"/>
    <col min="8967" max="8967" width="16.140625" style="110" customWidth="1"/>
    <col min="8968" max="8968" width="14.140625" style="110" customWidth="1"/>
    <col min="8969" max="8969" width="12.5703125" style="110" customWidth="1"/>
    <col min="8970" max="9216" width="12.5703125" style="110"/>
    <col min="9217" max="9217" width="39.42578125" style="110" customWidth="1"/>
    <col min="9218" max="9219" width="16.140625" style="110" customWidth="1"/>
    <col min="9220" max="9220" width="14.140625" style="110" customWidth="1"/>
    <col min="9221" max="9221" width="2" style="110" customWidth="1"/>
    <col min="9222" max="9222" width="3.7109375" style="110" customWidth="1"/>
    <col min="9223" max="9223" width="16.140625" style="110" customWidth="1"/>
    <col min="9224" max="9224" width="14.140625" style="110" customWidth="1"/>
    <col min="9225" max="9225" width="12.5703125" style="110" customWidth="1"/>
    <col min="9226" max="9472" width="12.5703125" style="110"/>
    <col min="9473" max="9473" width="39.42578125" style="110" customWidth="1"/>
    <col min="9474" max="9475" width="16.140625" style="110" customWidth="1"/>
    <col min="9476" max="9476" width="14.140625" style="110" customWidth="1"/>
    <col min="9477" max="9477" width="2" style="110" customWidth="1"/>
    <col min="9478" max="9478" width="3.7109375" style="110" customWidth="1"/>
    <col min="9479" max="9479" width="16.140625" style="110" customWidth="1"/>
    <col min="9480" max="9480" width="14.140625" style="110" customWidth="1"/>
    <col min="9481" max="9481" width="12.5703125" style="110" customWidth="1"/>
    <col min="9482" max="9728" width="12.5703125" style="110"/>
    <col min="9729" max="9729" width="39.42578125" style="110" customWidth="1"/>
    <col min="9730" max="9731" width="16.140625" style="110" customWidth="1"/>
    <col min="9732" max="9732" width="14.140625" style="110" customWidth="1"/>
    <col min="9733" max="9733" width="2" style="110" customWidth="1"/>
    <col min="9734" max="9734" width="3.7109375" style="110" customWidth="1"/>
    <col min="9735" max="9735" width="16.140625" style="110" customWidth="1"/>
    <col min="9736" max="9736" width="14.140625" style="110" customWidth="1"/>
    <col min="9737" max="9737" width="12.5703125" style="110" customWidth="1"/>
    <col min="9738" max="9984" width="12.5703125" style="110"/>
    <col min="9985" max="9985" width="39.42578125" style="110" customWidth="1"/>
    <col min="9986" max="9987" width="16.140625" style="110" customWidth="1"/>
    <col min="9988" max="9988" width="14.140625" style="110" customWidth="1"/>
    <col min="9989" max="9989" width="2" style="110" customWidth="1"/>
    <col min="9990" max="9990" width="3.7109375" style="110" customWidth="1"/>
    <col min="9991" max="9991" width="16.140625" style="110" customWidth="1"/>
    <col min="9992" max="9992" width="14.140625" style="110" customWidth="1"/>
    <col min="9993" max="9993" width="12.5703125" style="110" customWidth="1"/>
    <col min="9994" max="10240" width="12.5703125" style="110"/>
    <col min="10241" max="10241" width="39.42578125" style="110" customWidth="1"/>
    <col min="10242" max="10243" width="16.140625" style="110" customWidth="1"/>
    <col min="10244" max="10244" width="14.140625" style="110" customWidth="1"/>
    <col min="10245" max="10245" width="2" style="110" customWidth="1"/>
    <col min="10246" max="10246" width="3.7109375" style="110" customWidth="1"/>
    <col min="10247" max="10247" width="16.140625" style="110" customWidth="1"/>
    <col min="10248" max="10248" width="14.140625" style="110" customWidth="1"/>
    <col min="10249" max="10249" width="12.5703125" style="110" customWidth="1"/>
    <col min="10250" max="10496" width="12.5703125" style="110"/>
    <col min="10497" max="10497" width="39.42578125" style="110" customWidth="1"/>
    <col min="10498" max="10499" width="16.140625" style="110" customWidth="1"/>
    <col min="10500" max="10500" width="14.140625" style="110" customWidth="1"/>
    <col min="10501" max="10501" width="2" style="110" customWidth="1"/>
    <col min="10502" max="10502" width="3.7109375" style="110" customWidth="1"/>
    <col min="10503" max="10503" width="16.140625" style="110" customWidth="1"/>
    <col min="10504" max="10504" width="14.140625" style="110" customWidth="1"/>
    <col min="10505" max="10505" width="12.5703125" style="110" customWidth="1"/>
    <col min="10506" max="10752" width="12.5703125" style="110"/>
    <col min="10753" max="10753" width="39.42578125" style="110" customWidth="1"/>
    <col min="10754" max="10755" width="16.140625" style="110" customWidth="1"/>
    <col min="10756" max="10756" width="14.140625" style="110" customWidth="1"/>
    <col min="10757" max="10757" width="2" style="110" customWidth="1"/>
    <col min="10758" max="10758" width="3.7109375" style="110" customWidth="1"/>
    <col min="10759" max="10759" width="16.140625" style="110" customWidth="1"/>
    <col min="10760" max="10760" width="14.140625" style="110" customWidth="1"/>
    <col min="10761" max="10761" width="12.5703125" style="110" customWidth="1"/>
    <col min="10762" max="11008" width="12.5703125" style="110"/>
    <col min="11009" max="11009" width="39.42578125" style="110" customWidth="1"/>
    <col min="11010" max="11011" width="16.140625" style="110" customWidth="1"/>
    <col min="11012" max="11012" width="14.140625" style="110" customWidth="1"/>
    <col min="11013" max="11013" width="2" style="110" customWidth="1"/>
    <col min="11014" max="11014" width="3.7109375" style="110" customWidth="1"/>
    <col min="11015" max="11015" width="16.140625" style="110" customWidth="1"/>
    <col min="11016" max="11016" width="14.140625" style="110" customWidth="1"/>
    <col min="11017" max="11017" width="12.5703125" style="110" customWidth="1"/>
    <col min="11018" max="11264" width="12.5703125" style="110"/>
    <col min="11265" max="11265" width="39.42578125" style="110" customWidth="1"/>
    <col min="11266" max="11267" width="16.140625" style="110" customWidth="1"/>
    <col min="11268" max="11268" width="14.140625" style="110" customWidth="1"/>
    <col min="11269" max="11269" width="2" style="110" customWidth="1"/>
    <col min="11270" max="11270" width="3.7109375" style="110" customWidth="1"/>
    <col min="11271" max="11271" width="16.140625" style="110" customWidth="1"/>
    <col min="11272" max="11272" width="14.140625" style="110" customWidth="1"/>
    <col min="11273" max="11273" width="12.5703125" style="110" customWidth="1"/>
    <col min="11274" max="11520" width="12.5703125" style="110"/>
    <col min="11521" max="11521" width="39.42578125" style="110" customWidth="1"/>
    <col min="11522" max="11523" width="16.140625" style="110" customWidth="1"/>
    <col min="11524" max="11524" width="14.140625" style="110" customWidth="1"/>
    <col min="11525" max="11525" width="2" style="110" customWidth="1"/>
    <col min="11526" max="11526" width="3.7109375" style="110" customWidth="1"/>
    <col min="11527" max="11527" width="16.140625" style="110" customWidth="1"/>
    <col min="11528" max="11528" width="14.140625" style="110" customWidth="1"/>
    <col min="11529" max="11529" width="12.5703125" style="110" customWidth="1"/>
    <col min="11530" max="11776" width="12.5703125" style="110"/>
    <col min="11777" max="11777" width="39.42578125" style="110" customWidth="1"/>
    <col min="11778" max="11779" width="16.140625" style="110" customWidth="1"/>
    <col min="11780" max="11780" width="14.140625" style="110" customWidth="1"/>
    <col min="11781" max="11781" width="2" style="110" customWidth="1"/>
    <col min="11782" max="11782" width="3.7109375" style="110" customWidth="1"/>
    <col min="11783" max="11783" width="16.140625" style="110" customWidth="1"/>
    <col min="11784" max="11784" width="14.140625" style="110" customWidth="1"/>
    <col min="11785" max="11785" width="12.5703125" style="110" customWidth="1"/>
    <col min="11786" max="12032" width="12.5703125" style="110"/>
    <col min="12033" max="12033" width="39.42578125" style="110" customWidth="1"/>
    <col min="12034" max="12035" width="16.140625" style="110" customWidth="1"/>
    <col min="12036" max="12036" width="14.140625" style="110" customWidth="1"/>
    <col min="12037" max="12037" width="2" style="110" customWidth="1"/>
    <col min="12038" max="12038" width="3.7109375" style="110" customWidth="1"/>
    <col min="12039" max="12039" width="16.140625" style="110" customWidth="1"/>
    <col min="12040" max="12040" width="14.140625" style="110" customWidth="1"/>
    <col min="12041" max="12041" width="12.5703125" style="110" customWidth="1"/>
    <col min="12042" max="12288" width="12.5703125" style="110"/>
    <col min="12289" max="12289" width="39.42578125" style="110" customWidth="1"/>
    <col min="12290" max="12291" width="16.140625" style="110" customWidth="1"/>
    <col min="12292" max="12292" width="14.140625" style="110" customWidth="1"/>
    <col min="12293" max="12293" width="2" style="110" customWidth="1"/>
    <col min="12294" max="12294" width="3.7109375" style="110" customWidth="1"/>
    <col min="12295" max="12295" width="16.140625" style="110" customWidth="1"/>
    <col min="12296" max="12296" width="14.140625" style="110" customWidth="1"/>
    <col min="12297" max="12297" width="12.5703125" style="110" customWidth="1"/>
    <col min="12298" max="12544" width="12.5703125" style="110"/>
    <col min="12545" max="12545" width="39.42578125" style="110" customWidth="1"/>
    <col min="12546" max="12547" width="16.140625" style="110" customWidth="1"/>
    <col min="12548" max="12548" width="14.140625" style="110" customWidth="1"/>
    <col min="12549" max="12549" width="2" style="110" customWidth="1"/>
    <col min="12550" max="12550" width="3.7109375" style="110" customWidth="1"/>
    <col min="12551" max="12551" width="16.140625" style="110" customWidth="1"/>
    <col min="12552" max="12552" width="14.140625" style="110" customWidth="1"/>
    <col min="12553" max="12553" width="12.5703125" style="110" customWidth="1"/>
    <col min="12554" max="12800" width="12.5703125" style="110"/>
    <col min="12801" max="12801" width="39.42578125" style="110" customWidth="1"/>
    <col min="12802" max="12803" width="16.140625" style="110" customWidth="1"/>
    <col min="12804" max="12804" width="14.140625" style="110" customWidth="1"/>
    <col min="12805" max="12805" width="2" style="110" customWidth="1"/>
    <col min="12806" max="12806" width="3.7109375" style="110" customWidth="1"/>
    <col min="12807" max="12807" width="16.140625" style="110" customWidth="1"/>
    <col min="12808" max="12808" width="14.140625" style="110" customWidth="1"/>
    <col min="12809" max="12809" width="12.5703125" style="110" customWidth="1"/>
    <col min="12810" max="13056" width="12.5703125" style="110"/>
    <col min="13057" max="13057" width="39.42578125" style="110" customWidth="1"/>
    <col min="13058" max="13059" width="16.140625" style="110" customWidth="1"/>
    <col min="13060" max="13060" width="14.140625" style="110" customWidth="1"/>
    <col min="13061" max="13061" width="2" style="110" customWidth="1"/>
    <col min="13062" max="13062" width="3.7109375" style="110" customWidth="1"/>
    <col min="13063" max="13063" width="16.140625" style="110" customWidth="1"/>
    <col min="13064" max="13064" width="14.140625" style="110" customWidth="1"/>
    <col min="13065" max="13065" width="12.5703125" style="110" customWidth="1"/>
    <col min="13066" max="13312" width="12.5703125" style="110"/>
    <col min="13313" max="13313" width="39.42578125" style="110" customWidth="1"/>
    <col min="13314" max="13315" width="16.140625" style="110" customWidth="1"/>
    <col min="13316" max="13316" width="14.140625" style="110" customWidth="1"/>
    <col min="13317" max="13317" width="2" style="110" customWidth="1"/>
    <col min="13318" max="13318" width="3.7109375" style="110" customWidth="1"/>
    <col min="13319" max="13319" width="16.140625" style="110" customWidth="1"/>
    <col min="13320" max="13320" width="14.140625" style="110" customWidth="1"/>
    <col min="13321" max="13321" width="12.5703125" style="110" customWidth="1"/>
    <col min="13322" max="13568" width="12.5703125" style="110"/>
    <col min="13569" max="13569" width="39.42578125" style="110" customWidth="1"/>
    <col min="13570" max="13571" width="16.140625" style="110" customWidth="1"/>
    <col min="13572" max="13572" width="14.140625" style="110" customWidth="1"/>
    <col min="13573" max="13573" width="2" style="110" customWidth="1"/>
    <col min="13574" max="13574" width="3.7109375" style="110" customWidth="1"/>
    <col min="13575" max="13575" width="16.140625" style="110" customWidth="1"/>
    <col min="13576" max="13576" width="14.140625" style="110" customWidth="1"/>
    <col min="13577" max="13577" width="12.5703125" style="110" customWidth="1"/>
    <col min="13578" max="13824" width="12.5703125" style="110"/>
    <col min="13825" max="13825" width="39.42578125" style="110" customWidth="1"/>
    <col min="13826" max="13827" width="16.140625" style="110" customWidth="1"/>
    <col min="13828" max="13828" width="14.140625" style="110" customWidth="1"/>
    <col min="13829" max="13829" width="2" style="110" customWidth="1"/>
    <col min="13830" max="13830" width="3.7109375" style="110" customWidth="1"/>
    <col min="13831" max="13831" width="16.140625" style="110" customWidth="1"/>
    <col min="13832" max="13832" width="14.140625" style="110" customWidth="1"/>
    <col min="13833" max="13833" width="12.5703125" style="110" customWidth="1"/>
    <col min="13834" max="14080" width="12.5703125" style="110"/>
    <col min="14081" max="14081" width="39.42578125" style="110" customWidth="1"/>
    <col min="14082" max="14083" width="16.140625" style="110" customWidth="1"/>
    <col min="14084" max="14084" width="14.140625" style="110" customWidth="1"/>
    <col min="14085" max="14085" width="2" style="110" customWidth="1"/>
    <col min="14086" max="14086" width="3.7109375" style="110" customWidth="1"/>
    <col min="14087" max="14087" width="16.140625" style="110" customWidth="1"/>
    <col min="14088" max="14088" width="14.140625" style="110" customWidth="1"/>
    <col min="14089" max="14089" width="12.5703125" style="110" customWidth="1"/>
    <col min="14090" max="14336" width="12.5703125" style="110"/>
    <col min="14337" max="14337" width="39.42578125" style="110" customWidth="1"/>
    <col min="14338" max="14339" width="16.140625" style="110" customWidth="1"/>
    <col min="14340" max="14340" width="14.140625" style="110" customWidth="1"/>
    <col min="14341" max="14341" width="2" style="110" customWidth="1"/>
    <col min="14342" max="14342" width="3.7109375" style="110" customWidth="1"/>
    <col min="14343" max="14343" width="16.140625" style="110" customWidth="1"/>
    <col min="14344" max="14344" width="14.140625" style="110" customWidth="1"/>
    <col min="14345" max="14345" width="12.5703125" style="110" customWidth="1"/>
    <col min="14346" max="14592" width="12.5703125" style="110"/>
    <col min="14593" max="14593" width="39.42578125" style="110" customWidth="1"/>
    <col min="14594" max="14595" width="16.140625" style="110" customWidth="1"/>
    <col min="14596" max="14596" width="14.140625" style="110" customWidth="1"/>
    <col min="14597" max="14597" width="2" style="110" customWidth="1"/>
    <col min="14598" max="14598" width="3.7109375" style="110" customWidth="1"/>
    <col min="14599" max="14599" width="16.140625" style="110" customWidth="1"/>
    <col min="14600" max="14600" width="14.140625" style="110" customWidth="1"/>
    <col min="14601" max="14601" width="12.5703125" style="110" customWidth="1"/>
    <col min="14602" max="14848" width="12.5703125" style="110"/>
    <col min="14849" max="14849" width="39.42578125" style="110" customWidth="1"/>
    <col min="14850" max="14851" width="16.140625" style="110" customWidth="1"/>
    <col min="14852" max="14852" width="14.140625" style="110" customWidth="1"/>
    <col min="14853" max="14853" width="2" style="110" customWidth="1"/>
    <col min="14854" max="14854" width="3.7109375" style="110" customWidth="1"/>
    <col min="14855" max="14855" width="16.140625" style="110" customWidth="1"/>
    <col min="14856" max="14856" width="14.140625" style="110" customWidth="1"/>
    <col min="14857" max="14857" width="12.5703125" style="110" customWidth="1"/>
    <col min="14858" max="15104" width="12.5703125" style="110"/>
    <col min="15105" max="15105" width="39.42578125" style="110" customWidth="1"/>
    <col min="15106" max="15107" width="16.140625" style="110" customWidth="1"/>
    <col min="15108" max="15108" width="14.140625" style="110" customWidth="1"/>
    <col min="15109" max="15109" width="2" style="110" customWidth="1"/>
    <col min="15110" max="15110" width="3.7109375" style="110" customWidth="1"/>
    <col min="15111" max="15111" width="16.140625" style="110" customWidth="1"/>
    <col min="15112" max="15112" width="14.140625" style="110" customWidth="1"/>
    <col min="15113" max="15113" width="12.5703125" style="110" customWidth="1"/>
    <col min="15114" max="15360" width="12.5703125" style="110"/>
    <col min="15361" max="15361" width="39.42578125" style="110" customWidth="1"/>
    <col min="15362" max="15363" width="16.140625" style="110" customWidth="1"/>
    <col min="15364" max="15364" width="14.140625" style="110" customWidth="1"/>
    <col min="15365" max="15365" width="2" style="110" customWidth="1"/>
    <col min="15366" max="15366" width="3.7109375" style="110" customWidth="1"/>
    <col min="15367" max="15367" width="16.140625" style="110" customWidth="1"/>
    <col min="15368" max="15368" width="14.140625" style="110" customWidth="1"/>
    <col min="15369" max="15369" width="12.5703125" style="110" customWidth="1"/>
    <col min="15370" max="15616" width="12.5703125" style="110"/>
    <col min="15617" max="15617" width="39.42578125" style="110" customWidth="1"/>
    <col min="15618" max="15619" width="16.140625" style="110" customWidth="1"/>
    <col min="15620" max="15620" width="14.140625" style="110" customWidth="1"/>
    <col min="15621" max="15621" width="2" style="110" customWidth="1"/>
    <col min="15622" max="15622" width="3.7109375" style="110" customWidth="1"/>
    <col min="15623" max="15623" width="16.140625" style="110" customWidth="1"/>
    <col min="15624" max="15624" width="14.140625" style="110" customWidth="1"/>
    <col min="15625" max="15625" width="12.5703125" style="110" customWidth="1"/>
    <col min="15626" max="15872" width="12.5703125" style="110"/>
    <col min="15873" max="15873" width="39.42578125" style="110" customWidth="1"/>
    <col min="15874" max="15875" width="16.140625" style="110" customWidth="1"/>
    <col min="15876" max="15876" width="14.140625" style="110" customWidth="1"/>
    <col min="15877" max="15877" width="2" style="110" customWidth="1"/>
    <col min="15878" max="15878" width="3.7109375" style="110" customWidth="1"/>
    <col min="15879" max="15879" width="16.140625" style="110" customWidth="1"/>
    <col min="15880" max="15880" width="14.140625" style="110" customWidth="1"/>
    <col min="15881" max="15881" width="12.5703125" style="110" customWidth="1"/>
    <col min="15882" max="16128" width="12.5703125" style="110"/>
    <col min="16129" max="16129" width="39.42578125" style="110" customWidth="1"/>
    <col min="16130" max="16131" width="16.140625" style="110" customWidth="1"/>
    <col min="16132" max="16132" width="14.140625" style="110" customWidth="1"/>
    <col min="16133" max="16133" width="2" style="110" customWidth="1"/>
    <col min="16134" max="16134" width="3.7109375" style="110" customWidth="1"/>
    <col min="16135" max="16135" width="16.140625" style="110" customWidth="1"/>
    <col min="16136" max="16136" width="14.140625" style="110" customWidth="1"/>
    <col min="16137" max="16137" width="12.5703125" style="110" customWidth="1"/>
    <col min="16138" max="16384" width="12.5703125" style="110"/>
  </cols>
  <sheetData>
    <row r="1" spans="1:15" ht="18">
      <c r="A1" s="65" t="str">
        <f>HLOOKUP(INDICE!$F$2,Nombres!$C$3:$F$853,182)</f>
        <v>Exchange rates</v>
      </c>
      <c r="B1" s="108"/>
      <c r="C1" s="108"/>
      <c r="D1" s="108"/>
      <c r="E1" s="108"/>
      <c r="F1" s="108"/>
      <c r="G1" s="108"/>
      <c r="H1" s="108"/>
    </row>
    <row r="2" spans="1:15" ht="14.25">
      <c r="A2" s="68" t="str">
        <f>HLOOKUP(INDICE!$F$2,Nombres!$C$3:$E$853,167)</f>
        <v>(Expressed in currency/euro)</v>
      </c>
      <c r="B2" s="111"/>
      <c r="C2" s="111"/>
      <c r="D2" s="111"/>
      <c r="E2" s="111"/>
      <c r="F2" s="111"/>
      <c r="G2" s="111"/>
      <c r="H2" s="111"/>
    </row>
    <row r="3" spans="1:15" ht="19.5">
      <c r="A3" s="112"/>
      <c r="B3" s="324" t="str">
        <f>HLOOKUP(INDICE!$F$2,Nombres!$C$3:$E$853,175)</f>
        <v>Year-end exchange rates (*)</v>
      </c>
      <c r="C3" s="324"/>
      <c r="D3" s="324"/>
      <c r="E3" s="113"/>
      <c r="F3" s="114"/>
      <c r="G3" s="324" t="str">
        <f>HLOOKUP(INDICE!$F$2,Nombres!$C$3:$E$853,176)</f>
        <v>Average exchange rates (**)</v>
      </c>
      <c r="H3" s="324"/>
      <c r="I3" s="115"/>
    </row>
    <row r="4" spans="1:15" ht="15.75">
      <c r="A4" s="116"/>
      <c r="B4" s="117"/>
      <c r="C4" s="118" t="str">
        <f>HLOOKUP(INDICE!$F$2,Nombres!$C$3:$E$853,413)</f>
        <v>∆% on</v>
      </c>
      <c r="D4" s="118" t="str">
        <f>HLOOKUP(INDICE!$F$2,Nombres!$C$3:$E$853,413)</f>
        <v>∆% on</v>
      </c>
      <c r="E4" s="113"/>
      <c r="F4" s="114"/>
      <c r="G4" s="119"/>
      <c r="H4" s="118" t="str">
        <f>HLOOKUP(INDICE!$F$2,Nombres!$C$3:$E$853,413)</f>
        <v>∆% on</v>
      </c>
      <c r="I4" s="120"/>
    </row>
    <row r="5" spans="1:15" ht="15.75" customHeight="1">
      <c r="A5" s="116"/>
      <c r="B5" s="121">
        <v>43373</v>
      </c>
      <c r="C5" s="121">
        <v>43008</v>
      </c>
      <c r="D5" s="121">
        <v>43100</v>
      </c>
      <c r="E5" s="122"/>
      <c r="F5" s="123"/>
      <c r="G5" s="121" t="str">
        <f>HLOOKUP(INDICE!$F$2,Nombres!$C$3:$E$853,428)</f>
        <v>9M 18</v>
      </c>
      <c r="H5" s="124" t="str">
        <f>HLOOKUP(INDICE!$F$2,Nombres!$C$3:$E$853,427)</f>
        <v>9M 17</v>
      </c>
      <c r="I5" s="120"/>
    </row>
    <row r="6" spans="1:15" customFormat="1" ht="15">
      <c r="A6" s="125" t="str">
        <f>HLOOKUP(INDICE!$F$2,Nombres!$C$3:$E$853,168)</f>
        <v>Mexican peso</v>
      </c>
      <c r="B6" s="126">
        <v>21.779849283442957</v>
      </c>
      <c r="C6" s="127">
        <v>-1.461530207103749</v>
      </c>
      <c r="D6" s="127">
        <v>8.6387620377162051</v>
      </c>
      <c r="E6" s="92"/>
      <c r="F6" s="69"/>
      <c r="G6" s="126">
        <v>22.737091016575341</v>
      </c>
      <c r="H6" s="127">
        <v>-7.6320487241415549</v>
      </c>
      <c r="I6" s="128"/>
      <c r="J6" s="128"/>
      <c r="K6" s="128"/>
      <c r="L6" s="128"/>
      <c r="M6" s="129"/>
      <c r="N6" s="129"/>
      <c r="O6" s="129"/>
    </row>
    <row r="7" spans="1:15" customFormat="1" ht="15">
      <c r="A7" s="125" t="str">
        <f>HLOOKUP(INDICE!$F$2,Nombres!$C$3:$E$853,169)</f>
        <v>U.S. dollar</v>
      </c>
      <c r="B7" s="126">
        <v>1.1576003407975404</v>
      </c>
      <c r="C7" s="127">
        <v>1.9868315886034225</v>
      </c>
      <c r="D7" s="127">
        <v>3.602216305677473</v>
      </c>
      <c r="E7" s="92"/>
      <c r="F7" s="69"/>
      <c r="G7" s="126">
        <v>1.1944006497539534</v>
      </c>
      <c r="H7" s="127">
        <v>-6.7512978124578922</v>
      </c>
      <c r="I7" s="128"/>
      <c r="J7" s="128"/>
      <c r="K7" s="128"/>
      <c r="L7" s="128"/>
      <c r="M7" s="129"/>
      <c r="N7" s="129"/>
      <c r="O7" s="129"/>
    </row>
    <row r="8" spans="1:15" customFormat="1" ht="15">
      <c r="A8" s="125" t="str">
        <f>HLOOKUP(INDICE!$F$2,Nombres!$C$3:$E$853,170)</f>
        <v>Argentine peso</v>
      </c>
      <c r="B8" s="126">
        <v>45.737285034760333</v>
      </c>
      <c r="C8" s="127">
        <v>-54.683192737372266</v>
      </c>
      <c r="D8" s="127">
        <v>-50.624421309365189</v>
      </c>
      <c r="E8" s="92"/>
      <c r="F8" s="69"/>
      <c r="G8" s="126">
        <v>45.737285034760333</v>
      </c>
      <c r="H8" s="127">
        <v>-60.399913062377742</v>
      </c>
      <c r="I8" s="128"/>
      <c r="J8" s="128"/>
      <c r="K8" s="128"/>
      <c r="L8" s="128"/>
      <c r="M8" s="129"/>
      <c r="N8" s="129"/>
      <c r="O8" s="129"/>
    </row>
    <row r="9" spans="1:15" customFormat="1" ht="15">
      <c r="A9" s="125" t="str">
        <f>HLOOKUP(INDICE!$F$2,Nombres!$C$3:$E$853,171)</f>
        <v>Chilean peso</v>
      </c>
      <c r="B9" s="130">
        <v>765.69678407350682</v>
      </c>
      <c r="C9" s="127">
        <v>-1.8045112781954913</v>
      </c>
      <c r="D9" s="127">
        <v>-3.6162361623616164</v>
      </c>
      <c r="E9" s="92"/>
      <c r="F9" s="69"/>
      <c r="G9" s="130">
        <v>750.18754688672163</v>
      </c>
      <c r="H9" s="127">
        <v>-2.9133284777858819</v>
      </c>
      <c r="I9" s="128"/>
      <c r="J9" s="128"/>
      <c r="K9" s="128"/>
      <c r="L9" s="128"/>
      <c r="M9" s="129"/>
      <c r="N9" s="129"/>
      <c r="O9" s="129"/>
    </row>
    <row r="10" spans="1:15" customFormat="1" ht="15">
      <c r="A10" s="125" t="str">
        <f>HLOOKUP(INDICE!$F$2,Nombres!$C$3:$E$853,172)</f>
        <v>Colombian peso</v>
      </c>
      <c r="B10" s="130">
        <v>3460.2076124567475</v>
      </c>
      <c r="C10" s="127">
        <v>0.34722222222221433</v>
      </c>
      <c r="D10" s="127">
        <v>3.5842293906809886</v>
      </c>
      <c r="E10" s="92"/>
      <c r="F10" s="69"/>
      <c r="G10" s="130">
        <v>3448.2758620689656</v>
      </c>
      <c r="H10" s="127">
        <v>-4.9180327868852345</v>
      </c>
      <c r="I10" s="128"/>
      <c r="J10" s="128"/>
      <c r="K10" s="128"/>
      <c r="L10" s="128"/>
      <c r="M10" s="129"/>
      <c r="N10" s="129"/>
      <c r="O10" s="129"/>
    </row>
    <row r="11" spans="1:15" customFormat="1" ht="15">
      <c r="A11" s="125" t="str">
        <f>HLOOKUP(INDICE!$F$2,Nombres!$C$3:$E$853,173)</f>
        <v>Peruvian sol</v>
      </c>
      <c r="B11" s="126">
        <v>3.8147554741741057</v>
      </c>
      <c r="C11" s="127">
        <v>1.0769355342456208</v>
      </c>
      <c r="D11" s="127">
        <v>1.7442537435085228</v>
      </c>
      <c r="E11" s="92"/>
      <c r="F11" s="69"/>
      <c r="G11" s="126">
        <v>3.8952489648375881</v>
      </c>
      <c r="H11" s="127">
        <v>-6.688256931420014</v>
      </c>
      <c r="I11" s="128"/>
      <c r="J11" s="128"/>
      <c r="K11" s="128"/>
      <c r="L11" s="128"/>
      <c r="M11" s="129"/>
      <c r="N11" s="129"/>
      <c r="O11" s="129"/>
    </row>
    <row r="12" spans="1:15" customFormat="1" ht="15">
      <c r="A12" s="125" t="str">
        <f>HLOOKUP(INDICE!$F$2,Nombres!$C$3:$E$853,190)</f>
        <v>Turkish lira</v>
      </c>
      <c r="B12" s="126">
        <v>6.9650008706251088</v>
      </c>
      <c r="C12" s="127">
        <v>-39.679945551251564</v>
      </c>
      <c r="D12" s="127">
        <v>-34.724987952026325</v>
      </c>
      <c r="E12" s="92"/>
      <c r="F12" s="69"/>
      <c r="G12" s="126">
        <v>5.5066382524132838</v>
      </c>
      <c r="H12" s="127">
        <v>-27.31300808126899</v>
      </c>
      <c r="I12" s="128"/>
      <c r="J12" s="128"/>
      <c r="K12" s="128"/>
      <c r="L12" s="128"/>
      <c r="M12" s="129"/>
      <c r="N12" s="129"/>
      <c r="O12" s="129"/>
    </row>
    <row r="13" spans="1:15" ht="14.25">
      <c r="A13" s="131"/>
      <c r="B13" s="132"/>
      <c r="C13" s="132"/>
      <c r="D13" s="132"/>
      <c r="E13" s="132"/>
      <c r="F13" s="132"/>
      <c r="G13" s="131"/>
      <c r="H13" s="131"/>
      <c r="K13" s="133"/>
      <c r="L13" s="133"/>
      <c r="M13" s="133"/>
      <c r="N13" s="133"/>
    </row>
    <row r="14" spans="1:15" ht="14.25">
      <c r="A14" s="131"/>
      <c r="B14" s="132"/>
      <c r="C14" s="132"/>
      <c r="D14" s="132"/>
      <c r="E14" s="132"/>
      <c r="F14" s="132"/>
      <c r="G14" s="131"/>
      <c r="H14" s="131"/>
      <c r="K14" s="133"/>
      <c r="L14" s="133"/>
      <c r="M14" s="133"/>
      <c r="N14" s="133"/>
    </row>
    <row r="15" spans="1:15" ht="14.25">
      <c r="A15" s="134" t="str">
        <f>HLOOKUP(INDICE!$F$2,Nombres!$C$3:$E$853,177)</f>
        <v>(*) Used in the constant euros comparisons for the balance sheet and business activity</v>
      </c>
      <c r="B15" s="135"/>
      <c r="C15" s="135"/>
      <c r="D15" s="135"/>
      <c r="E15" s="132"/>
      <c r="F15" s="132"/>
      <c r="G15" s="131"/>
      <c r="H15" s="131"/>
      <c r="K15" s="133"/>
      <c r="L15" s="133"/>
      <c r="M15" s="133"/>
      <c r="N15" s="133"/>
    </row>
    <row r="16" spans="1:15" ht="14.25">
      <c r="A16" s="134" t="str">
        <f>HLOOKUP(INDICE!$F$2,Nombres!$C$3:$E$853,178)</f>
        <v>(**) Used in the constant euros comparisons for the profit and loss</v>
      </c>
      <c r="B16" s="135"/>
      <c r="C16" s="135"/>
      <c r="D16" s="135"/>
      <c r="E16" s="132"/>
      <c r="F16" s="132"/>
      <c r="G16" s="131"/>
      <c r="H16" s="131"/>
      <c r="K16" s="133"/>
      <c r="L16" s="133"/>
      <c r="M16" s="133"/>
      <c r="N16" s="133"/>
    </row>
    <row r="17" spans="1:14" ht="14.25">
      <c r="A17" s="136"/>
      <c r="B17" s="136"/>
      <c r="C17" s="136"/>
      <c r="D17" s="136"/>
      <c r="E17" s="111"/>
      <c r="F17" s="111"/>
      <c r="G17" s="111"/>
      <c r="H17" s="111"/>
      <c r="K17" s="133"/>
      <c r="L17" s="133"/>
      <c r="M17" s="133"/>
      <c r="N17" s="133"/>
    </row>
  </sheetData>
  <mergeCells count="2">
    <mergeCell ref="B3:D3"/>
    <mergeCell ref="G3:H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zoomScale="85" zoomScaleNormal="85" workbookViewId="0"/>
  </sheetViews>
  <sheetFormatPr baseColWidth="10" defaultRowHeight="15"/>
  <cols>
    <col min="1" max="1" width="30.7109375" customWidth="1"/>
    <col min="2" max="8" width="10.7109375" customWidth="1"/>
    <col min="256" max="256" width="30.7109375" customWidth="1"/>
    <col min="257" max="264" width="10.7109375" customWidth="1"/>
    <col min="512" max="512" width="30.7109375" customWidth="1"/>
    <col min="513" max="520" width="10.7109375" customWidth="1"/>
    <col min="768" max="768" width="30.7109375" customWidth="1"/>
    <col min="769" max="776" width="10.7109375" customWidth="1"/>
    <col min="1024" max="1024" width="30.7109375" customWidth="1"/>
    <col min="1025" max="1032" width="10.7109375" customWidth="1"/>
    <col min="1280" max="1280" width="30.7109375" customWidth="1"/>
    <col min="1281" max="1288" width="10.7109375" customWidth="1"/>
    <col min="1536" max="1536" width="30.7109375" customWidth="1"/>
    <col min="1537" max="1544" width="10.7109375" customWidth="1"/>
    <col min="1792" max="1792" width="30.7109375" customWidth="1"/>
    <col min="1793" max="1800" width="10.7109375" customWidth="1"/>
    <col min="2048" max="2048" width="30.7109375" customWidth="1"/>
    <col min="2049" max="2056" width="10.7109375" customWidth="1"/>
    <col min="2304" max="2304" width="30.7109375" customWidth="1"/>
    <col min="2305" max="2312" width="10.7109375" customWidth="1"/>
    <col min="2560" max="2560" width="30.7109375" customWidth="1"/>
    <col min="2561" max="2568" width="10.7109375" customWidth="1"/>
    <col min="2816" max="2816" width="30.7109375" customWidth="1"/>
    <col min="2817" max="2824" width="10.7109375" customWidth="1"/>
    <col min="3072" max="3072" width="30.7109375" customWidth="1"/>
    <col min="3073" max="3080" width="10.7109375" customWidth="1"/>
    <col min="3328" max="3328" width="30.7109375" customWidth="1"/>
    <col min="3329" max="3336" width="10.7109375" customWidth="1"/>
    <col min="3584" max="3584" width="30.7109375" customWidth="1"/>
    <col min="3585" max="3592" width="10.7109375" customWidth="1"/>
    <col min="3840" max="3840" width="30.7109375" customWidth="1"/>
    <col min="3841" max="3848" width="10.7109375" customWidth="1"/>
    <col min="4096" max="4096" width="30.7109375" customWidth="1"/>
    <col min="4097" max="4104" width="10.7109375" customWidth="1"/>
    <col min="4352" max="4352" width="30.7109375" customWidth="1"/>
    <col min="4353" max="4360" width="10.7109375" customWidth="1"/>
    <col min="4608" max="4608" width="30.7109375" customWidth="1"/>
    <col min="4609" max="4616" width="10.7109375" customWidth="1"/>
    <col min="4864" max="4864" width="30.7109375" customWidth="1"/>
    <col min="4865" max="4872" width="10.7109375" customWidth="1"/>
    <col min="5120" max="5120" width="30.7109375" customWidth="1"/>
    <col min="5121" max="5128" width="10.7109375" customWidth="1"/>
    <col min="5376" max="5376" width="30.7109375" customWidth="1"/>
    <col min="5377" max="5384" width="10.7109375" customWidth="1"/>
    <col min="5632" max="5632" width="30.7109375" customWidth="1"/>
    <col min="5633" max="5640" width="10.7109375" customWidth="1"/>
    <col min="5888" max="5888" width="30.7109375" customWidth="1"/>
    <col min="5889" max="5896" width="10.7109375" customWidth="1"/>
    <col min="6144" max="6144" width="30.7109375" customWidth="1"/>
    <col min="6145" max="6152" width="10.7109375" customWidth="1"/>
    <col min="6400" max="6400" width="30.7109375" customWidth="1"/>
    <col min="6401" max="6408" width="10.7109375" customWidth="1"/>
    <col min="6656" max="6656" width="30.7109375" customWidth="1"/>
    <col min="6657" max="6664" width="10.7109375" customWidth="1"/>
    <col min="6912" max="6912" width="30.7109375" customWidth="1"/>
    <col min="6913" max="6920" width="10.7109375" customWidth="1"/>
    <col min="7168" max="7168" width="30.7109375" customWidth="1"/>
    <col min="7169" max="7176" width="10.7109375" customWidth="1"/>
    <col min="7424" max="7424" width="30.7109375" customWidth="1"/>
    <col min="7425" max="7432" width="10.7109375" customWidth="1"/>
    <col min="7680" max="7680" width="30.7109375" customWidth="1"/>
    <col min="7681" max="7688" width="10.7109375" customWidth="1"/>
    <col min="7936" max="7936" width="30.7109375" customWidth="1"/>
    <col min="7937" max="7944" width="10.7109375" customWidth="1"/>
    <col min="8192" max="8192" width="30.7109375" customWidth="1"/>
    <col min="8193" max="8200" width="10.7109375" customWidth="1"/>
    <col min="8448" max="8448" width="30.7109375" customWidth="1"/>
    <col min="8449" max="8456" width="10.7109375" customWidth="1"/>
    <col min="8704" max="8704" width="30.7109375" customWidth="1"/>
    <col min="8705" max="8712" width="10.7109375" customWidth="1"/>
    <col min="8960" max="8960" width="30.7109375" customWidth="1"/>
    <col min="8961" max="8968" width="10.7109375" customWidth="1"/>
    <col min="9216" max="9216" width="30.7109375" customWidth="1"/>
    <col min="9217" max="9224" width="10.7109375" customWidth="1"/>
    <col min="9472" max="9472" width="30.7109375" customWidth="1"/>
    <col min="9473" max="9480" width="10.7109375" customWidth="1"/>
    <col min="9728" max="9728" width="30.7109375" customWidth="1"/>
    <col min="9729" max="9736" width="10.7109375" customWidth="1"/>
    <col min="9984" max="9984" width="30.7109375" customWidth="1"/>
    <col min="9985" max="9992" width="10.7109375" customWidth="1"/>
    <col min="10240" max="10240" width="30.7109375" customWidth="1"/>
    <col min="10241" max="10248" width="10.7109375" customWidth="1"/>
    <col min="10496" max="10496" width="30.7109375" customWidth="1"/>
    <col min="10497" max="10504" width="10.7109375" customWidth="1"/>
    <col min="10752" max="10752" width="30.7109375" customWidth="1"/>
    <col min="10753" max="10760" width="10.7109375" customWidth="1"/>
    <col min="11008" max="11008" width="30.7109375" customWidth="1"/>
    <col min="11009" max="11016" width="10.7109375" customWidth="1"/>
    <col min="11264" max="11264" width="30.7109375" customWidth="1"/>
    <col min="11265" max="11272" width="10.7109375" customWidth="1"/>
    <col min="11520" max="11520" width="30.7109375" customWidth="1"/>
    <col min="11521" max="11528" width="10.7109375" customWidth="1"/>
    <col min="11776" max="11776" width="30.7109375" customWidth="1"/>
    <col min="11777" max="11784" width="10.7109375" customWidth="1"/>
    <col min="12032" max="12032" width="30.7109375" customWidth="1"/>
    <col min="12033" max="12040" width="10.7109375" customWidth="1"/>
    <col min="12288" max="12288" width="30.7109375" customWidth="1"/>
    <col min="12289" max="12296" width="10.7109375" customWidth="1"/>
    <col min="12544" max="12544" width="30.7109375" customWidth="1"/>
    <col min="12545" max="12552" width="10.7109375" customWidth="1"/>
    <col min="12800" max="12800" width="30.7109375" customWidth="1"/>
    <col min="12801" max="12808" width="10.7109375" customWidth="1"/>
    <col min="13056" max="13056" width="30.7109375" customWidth="1"/>
    <col min="13057" max="13064" width="10.7109375" customWidth="1"/>
    <col min="13312" max="13312" width="30.7109375" customWidth="1"/>
    <col min="13313" max="13320" width="10.7109375" customWidth="1"/>
    <col min="13568" max="13568" width="30.7109375" customWidth="1"/>
    <col min="13569" max="13576" width="10.7109375" customWidth="1"/>
    <col min="13824" max="13824" width="30.7109375" customWidth="1"/>
    <col min="13825" max="13832" width="10.7109375" customWidth="1"/>
    <col min="14080" max="14080" width="30.7109375" customWidth="1"/>
    <col min="14081" max="14088" width="10.7109375" customWidth="1"/>
    <col min="14336" max="14336" width="30.7109375" customWidth="1"/>
    <col min="14337" max="14344" width="10.7109375" customWidth="1"/>
    <col min="14592" max="14592" width="30.7109375" customWidth="1"/>
    <col min="14593" max="14600" width="10.7109375" customWidth="1"/>
    <col min="14848" max="14848" width="30.7109375" customWidth="1"/>
    <col min="14849" max="14856" width="10.7109375" customWidth="1"/>
    <col min="15104" max="15104" width="30.7109375" customWidth="1"/>
    <col min="15105" max="15112" width="10.7109375" customWidth="1"/>
    <col min="15360" max="15360" width="30.7109375" customWidth="1"/>
    <col min="15361" max="15368" width="10.7109375" customWidth="1"/>
    <col min="15616" max="15616" width="30.7109375" customWidth="1"/>
    <col min="15617" max="15624" width="10.7109375" customWidth="1"/>
    <col min="15872" max="15872" width="30.7109375" customWidth="1"/>
    <col min="15873" max="15880" width="10.7109375" customWidth="1"/>
    <col min="16128" max="16128" width="30.7109375" customWidth="1"/>
    <col min="16129" max="16136" width="10.7109375" customWidth="1"/>
  </cols>
  <sheetData>
    <row r="1" spans="1:18" ht="19.5">
      <c r="A1" s="87" t="str">
        <f>HLOOKUP(INDICE!$F$2,Nombres!$C$3:$E$853,323)</f>
        <v>Customer Spreads (*)</v>
      </c>
      <c r="B1" s="88"/>
      <c r="C1" s="88"/>
      <c r="D1" s="88"/>
      <c r="E1" s="88"/>
      <c r="F1" s="88"/>
      <c r="G1" s="89"/>
      <c r="H1" s="89"/>
    </row>
    <row r="2" spans="1:18" ht="12.75" customHeight="1">
      <c r="A2" s="90" t="str">
        <f>HLOOKUP(INDICE!$F$2,Nombres!$C$3:$E$853,327)</f>
        <v>(Percentage)</v>
      </c>
      <c r="B2" s="91"/>
      <c r="C2" s="91"/>
      <c r="D2" s="91"/>
      <c r="E2" s="91"/>
      <c r="F2" s="91"/>
      <c r="G2" s="84"/>
      <c r="H2" s="84"/>
    </row>
    <row r="3" spans="1:18" ht="15.75">
      <c r="A3" s="84"/>
      <c r="B3" s="316">
        <v>2017</v>
      </c>
      <c r="C3" s="316"/>
      <c r="D3" s="316"/>
      <c r="E3" s="316"/>
      <c r="F3" s="316">
        <v>2018</v>
      </c>
      <c r="G3" s="316"/>
      <c r="H3" s="316"/>
    </row>
    <row r="4" spans="1:18" ht="15.75">
      <c r="A4" s="92"/>
      <c r="B4" s="93" t="str">
        <f>HLOOKUP(INDICE!$F$2,Nombres!$C$3:$E$853,34)</f>
        <v>1Q</v>
      </c>
      <c r="C4" s="93" t="str">
        <f>HLOOKUP(INDICE!$F$2,Nombres!$C$3:$E$853,35)</f>
        <v>2Q</v>
      </c>
      <c r="D4" s="93" t="str">
        <f>HLOOKUP(INDICE!$F$2,Nombres!$C$3:$E$853,36)</f>
        <v>3Q</v>
      </c>
      <c r="E4" s="93" t="str">
        <f>HLOOKUP(INDICE!$F$2,Nombres!$C$3:$E$853,37)</f>
        <v>4Q</v>
      </c>
      <c r="F4" s="93" t="str">
        <f>HLOOKUP(INDICE!$F$2,Nombres!$C$3:$E$853,34)</f>
        <v>1Q</v>
      </c>
      <c r="G4" s="93" t="str">
        <f>HLOOKUP(INDICE!$F$2,Nombres!$C$3:$E$853,35)</f>
        <v>2Q</v>
      </c>
      <c r="H4" s="93" t="str">
        <f>HLOOKUP(INDICE!$F$2,Nombres!$C$3:$E$853,36)</f>
        <v>3Q</v>
      </c>
    </row>
    <row r="5" spans="1:18">
      <c r="A5" s="92"/>
      <c r="B5" s="94"/>
      <c r="C5" s="94"/>
      <c r="D5" s="94"/>
      <c r="E5" s="94"/>
      <c r="F5" s="94"/>
      <c r="G5" s="84"/>
      <c r="H5" s="84"/>
    </row>
    <row r="6" spans="1:18">
      <c r="A6" s="95" t="str">
        <f>HLOOKUP(INDICE!$F$2,Nombres!$C$3:$E$853,359)</f>
        <v>Yield on Loans</v>
      </c>
      <c r="B6" s="96">
        <v>2.035403566267591E-2</v>
      </c>
      <c r="C6" s="96">
        <v>2.0159055989469356E-2</v>
      </c>
      <c r="D6" s="96">
        <v>2.0034437489997142E-2</v>
      </c>
      <c r="E6" s="97">
        <v>1.9992162966190032E-2</v>
      </c>
      <c r="F6" s="97">
        <v>2.0138832954583824E-2</v>
      </c>
      <c r="G6" s="96">
        <v>2.0146126826651945E-2</v>
      </c>
      <c r="H6" s="96">
        <v>2.0133350517807777E-2</v>
      </c>
      <c r="I6" s="98"/>
      <c r="J6" s="98"/>
      <c r="K6" s="98"/>
      <c r="L6" s="98"/>
      <c r="N6" s="99"/>
      <c r="O6" s="99"/>
      <c r="P6" s="99"/>
      <c r="Q6" s="99"/>
      <c r="R6" s="99"/>
    </row>
    <row r="7" spans="1:18">
      <c r="A7" s="95" t="str">
        <f>HLOOKUP(INDICE!$F$2,Nombres!$C$3:$E$853,360)</f>
        <v>Cost of Deposits</v>
      </c>
      <c r="B7" s="96">
        <v>-1.1222515799552207E-3</v>
      </c>
      <c r="C7" s="96">
        <v>-8.0440030211405614E-4</v>
      </c>
      <c r="D7" s="96">
        <v>-7.567110564011281E-4</v>
      </c>
      <c r="E7" s="97">
        <v>-6.7156040942668665E-4</v>
      </c>
      <c r="F7" s="97">
        <v>-6.9609137305022193E-4</v>
      </c>
      <c r="G7" s="96">
        <v>-7.0529670583620091E-4</v>
      </c>
      <c r="H7" s="96">
        <v>-7.9428375821023094E-4</v>
      </c>
      <c r="I7" s="98"/>
      <c r="J7" s="98"/>
      <c r="K7" s="98"/>
      <c r="L7" s="98"/>
      <c r="N7" s="99"/>
      <c r="O7" s="99"/>
      <c r="P7" s="99"/>
      <c r="Q7" s="99"/>
      <c r="R7" s="99"/>
    </row>
    <row r="8" spans="1:18">
      <c r="A8" s="77" t="str">
        <f>HLOOKUP(INDICE!$F$2,Nombres!$C$3:$E$853,7)</f>
        <v>Banking activity in Spain</v>
      </c>
      <c r="B8" s="100">
        <v>1.923178408272069E-2</v>
      </c>
      <c r="C8" s="100">
        <v>1.93546556873553E-2</v>
      </c>
      <c r="D8" s="100">
        <v>1.9277726433596015E-2</v>
      </c>
      <c r="E8" s="101">
        <v>1.9320602556763346E-2</v>
      </c>
      <c r="F8" s="101">
        <v>1.9442741581533602E-2</v>
      </c>
      <c r="G8" s="100">
        <v>1.9440830120815746E-2</v>
      </c>
      <c r="H8" s="100">
        <v>1.9339066759597547E-2</v>
      </c>
      <c r="I8" s="98"/>
      <c r="J8" s="98"/>
      <c r="K8" s="98"/>
      <c r="L8" s="98"/>
      <c r="N8" s="99"/>
      <c r="O8" s="99"/>
      <c r="P8" s="99"/>
      <c r="Q8" s="99"/>
      <c r="R8" s="99"/>
    </row>
    <row r="9" spans="1:18">
      <c r="A9" s="92"/>
      <c r="B9" s="102"/>
      <c r="C9" s="102"/>
      <c r="D9" s="102"/>
      <c r="E9" s="102"/>
      <c r="F9" s="102"/>
      <c r="G9" s="102"/>
      <c r="H9" s="102"/>
      <c r="N9" s="99"/>
      <c r="O9" s="99"/>
      <c r="P9" s="99"/>
      <c r="Q9" s="99"/>
      <c r="R9" s="99"/>
    </row>
    <row r="10" spans="1:18">
      <c r="A10" s="95" t="str">
        <f>HLOOKUP(INDICE!$F$2,Nombres!$C$3:$E$853,359)</f>
        <v>Yield on Loans</v>
      </c>
      <c r="B10" s="96">
        <v>3.8808136489292828E-2</v>
      </c>
      <c r="C10" s="96">
        <v>3.9931673477867947E-2</v>
      </c>
      <c r="D10" s="96">
        <v>4.1173396728620089E-2</v>
      </c>
      <c r="E10" s="96">
        <v>4.1595882727270397E-2</v>
      </c>
      <c r="F10" s="96">
        <v>4.3140192150107615E-2</v>
      </c>
      <c r="G10" s="96">
        <v>4.5122038445993537E-2</v>
      </c>
      <c r="H10" s="96">
        <v>4.6451923854610458E-2</v>
      </c>
      <c r="I10" s="98"/>
      <c r="J10" s="98"/>
      <c r="K10" s="98"/>
      <c r="L10" s="98"/>
      <c r="N10" s="99"/>
      <c r="O10" s="99"/>
      <c r="P10" s="99"/>
      <c r="Q10" s="99"/>
      <c r="R10" s="99"/>
    </row>
    <row r="11" spans="1:18">
      <c r="A11" s="95" t="str">
        <f>HLOOKUP(INDICE!$F$2,Nombres!$C$3:$E$853,360)</f>
        <v>Cost of Deposits</v>
      </c>
      <c r="B11" s="96">
        <v>-3.7179700777489138E-3</v>
      </c>
      <c r="C11" s="96">
        <v>-3.2743276543714533E-3</v>
      </c>
      <c r="D11" s="96">
        <v>-3.5658450476969928E-3</v>
      </c>
      <c r="E11" s="96">
        <v>-4.1282531953449799E-3</v>
      </c>
      <c r="F11" s="96">
        <v>-4.5072242333865182E-3</v>
      </c>
      <c r="G11" s="96">
        <v>-5.3795946217339427E-3</v>
      </c>
      <c r="H11" s="96">
        <v>-6.5994968338259864E-3</v>
      </c>
      <c r="I11" s="98"/>
      <c r="J11" s="98"/>
      <c r="K11" s="98"/>
      <c r="L11" s="98"/>
      <c r="N11" s="99"/>
      <c r="O11" s="99"/>
      <c r="P11" s="99"/>
      <c r="Q11" s="99"/>
      <c r="R11" s="99"/>
    </row>
    <row r="12" spans="1:18">
      <c r="A12" s="77" t="str">
        <f>HLOOKUP(INDICE!$F$2,Nombres!$C$3:$E$853,326)</f>
        <v>The United States (**)</v>
      </c>
      <c r="B12" s="100">
        <v>3.5090166411543916E-2</v>
      </c>
      <c r="C12" s="100">
        <v>3.6657345823496494E-2</v>
      </c>
      <c r="D12" s="100">
        <v>3.7607551680923099E-2</v>
      </c>
      <c r="E12" s="100">
        <v>3.7467629531925416E-2</v>
      </c>
      <c r="F12" s="100">
        <v>3.8632967916721092E-2</v>
      </c>
      <c r="G12" s="100">
        <v>3.9742443824259593E-2</v>
      </c>
      <c r="H12" s="100">
        <v>3.9852427020784474E-2</v>
      </c>
      <c r="I12" s="98"/>
      <c r="J12" s="98"/>
      <c r="K12" s="98"/>
      <c r="L12" s="98"/>
      <c r="N12" s="99"/>
      <c r="O12" s="99"/>
      <c r="P12" s="99"/>
      <c r="Q12" s="99"/>
      <c r="R12" s="99"/>
    </row>
    <row r="13" spans="1:18">
      <c r="A13" s="92"/>
      <c r="B13" s="102"/>
      <c r="C13" s="102"/>
      <c r="D13" s="102"/>
      <c r="E13" s="102"/>
      <c r="F13" s="102"/>
      <c r="G13" s="102"/>
      <c r="H13" s="102"/>
      <c r="N13" s="99"/>
      <c r="O13" s="99"/>
      <c r="P13" s="99"/>
      <c r="Q13" s="99"/>
      <c r="R13" s="99"/>
    </row>
    <row r="14" spans="1:18">
      <c r="A14" s="95" t="str">
        <f>HLOOKUP(INDICE!$F$2,Nombres!$C$3:$E$853,359)</f>
        <v>Yield on Loans</v>
      </c>
      <c r="B14" s="96">
        <v>0.13695581116402505</v>
      </c>
      <c r="C14" s="96">
        <v>0.13784511757939188</v>
      </c>
      <c r="D14" s="96">
        <v>0.13682113226743542</v>
      </c>
      <c r="E14" s="96">
        <v>0.14020619516806701</v>
      </c>
      <c r="F14" s="96">
        <v>0.14200232555647663</v>
      </c>
      <c r="G14" s="96">
        <v>0.14195093864989189</v>
      </c>
      <c r="H14" s="96">
        <v>0.14290599008176005</v>
      </c>
      <c r="I14" s="98"/>
      <c r="J14" s="98"/>
      <c r="K14" s="98"/>
      <c r="L14" s="98"/>
      <c r="N14" s="99"/>
      <c r="O14" s="99"/>
      <c r="P14" s="99"/>
      <c r="Q14" s="99"/>
      <c r="R14" s="99"/>
    </row>
    <row r="15" spans="1:18">
      <c r="A15" s="95" t="str">
        <f>HLOOKUP(INDICE!$F$2,Nombres!$C$3:$E$853,360)</f>
        <v>Cost of Deposits</v>
      </c>
      <c r="B15" s="96">
        <v>-1.5997830957483857E-2</v>
      </c>
      <c r="C15" s="96">
        <v>-1.7672949192816589E-2</v>
      </c>
      <c r="D15" s="96">
        <v>-1.8675248716213788E-2</v>
      </c>
      <c r="E15" s="96">
        <v>-1.9752132505584514E-2</v>
      </c>
      <c r="F15" s="96">
        <v>-2.1404652530349014E-2</v>
      </c>
      <c r="G15" s="96">
        <v>-2.302012092904648E-2</v>
      </c>
      <c r="H15" s="96">
        <v>-2.4897425458564909E-2</v>
      </c>
      <c r="I15" s="98"/>
      <c r="J15" s="98"/>
      <c r="K15" s="98"/>
      <c r="L15" s="98"/>
      <c r="N15" s="99"/>
      <c r="O15" s="99"/>
      <c r="P15" s="99"/>
      <c r="Q15" s="99"/>
      <c r="R15" s="99"/>
    </row>
    <row r="16" spans="1:18">
      <c r="A16" s="77" t="str">
        <f>HLOOKUP(INDICE!$F$2,Nombres!$C$3:$E$853,421)</f>
        <v>Mexico MXN</v>
      </c>
      <c r="B16" s="100">
        <v>0.12095798020654121</v>
      </c>
      <c r="C16" s="100">
        <v>0.1201721683865753</v>
      </c>
      <c r="D16" s="100">
        <v>0.11814588355122163</v>
      </c>
      <c r="E16" s="100">
        <v>0.1204540626624825</v>
      </c>
      <c r="F16" s="100">
        <v>0.12059767302612762</v>
      </c>
      <c r="G16" s="100">
        <v>0.11893081772084539</v>
      </c>
      <c r="H16" s="100">
        <v>0.11800856462319514</v>
      </c>
      <c r="I16" s="98"/>
      <c r="J16" s="98"/>
      <c r="K16" s="98"/>
      <c r="L16" s="98"/>
      <c r="N16" s="99"/>
      <c r="O16" s="99"/>
      <c r="P16" s="99"/>
      <c r="Q16" s="99"/>
      <c r="R16" s="99"/>
    </row>
    <row r="17" spans="1:18">
      <c r="A17" s="92"/>
      <c r="B17" s="102"/>
      <c r="C17" s="102"/>
      <c r="D17" s="102"/>
      <c r="E17" s="102"/>
      <c r="F17" s="102"/>
      <c r="G17" s="102"/>
      <c r="H17" s="102"/>
      <c r="N17" s="99"/>
      <c r="O17" s="99"/>
      <c r="P17" s="99"/>
      <c r="Q17" s="99"/>
      <c r="R17" s="99"/>
    </row>
    <row r="18" spans="1:18">
      <c r="A18" s="95" t="str">
        <f>HLOOKUP(INDICE!$F$2,Nombres!$C$3:$E$853,359)</f>
        <v>Yield on Loans</v>
      </c>
      <c r="B18" s="102">
        <v>3.4933431058413414E-2</v>
      </c>
      <c r="C18" s="102">
        <v>3.6633817060782163E-2</v>
      </c>
      <c r="D18" s="102">
        <v>3.5339119972235405E-2</v>
      </c>
      <c r="E18" s="102">
        <v>3.7571300165626112E-2</v>
      </c>
      <c r="F18" s="102">
        <v>4.0199136686219453E-2</v>
      </c>
      <c r="G18" s="102">
        <v>4.1968418827449311E-2</v>
      </c>
      <c r="H18" s="102">
        <v>4.2551737752544033E-2</v>
      </c>
      <c r="N18" s="99"/>
      <c r="O18" s="99"/>
      <c r="P18" s="99"/>
      <c r="Q18" s="99"/>
      <c r="R18" s="99"/>
    </row>
    <row r="19" spans="1:18">
      <c r="A19" s="95" t="str">
        <f>HLOOKUP(INDICE!$F$2,Nombres!$C$3:$E$853,360)</f>
        <v>Cost of Deposits</v>
      </c>
      <c r="B19" s="102">
        <v>-3.5356049125577857E-4</v>
      </c>
      <c r="C19" s="102">
        <v>-4.7950286181088511E-4</v>
      </c>
      <c r="D19" s="102">
        <v>-6.8617116977257367E-4</v>
      </c>
      <c r="E19" s="102">
        <v>-7.7464134952240501E-4</v>
      </c>
      <c r="F19" s="102">
        <v>-9.2495512898957215E-4</v>
      </c>
      <c r="G19" s="102">
        <v>-1.3561590082740119E-3</v>
      </c>
      <c r="H19" s="102">
        <v>-1.5153214008600232E-3</v>
      </c>
      <c r="N19" s="99"/>
      <c r="O19" s="99"/>
      <c r="P19" s="99"/>
      <c r="Q19" s="99"/>
      <c r="R19" s="99"/>
    </row>
    <row r="20" spans="1:18">
      <c r="A20" s="77" t="str">
        <f>HLOOKUP(INDICE!$F$2,Nombres!$C$3:$E$853,422)</f>
        <v>Mexico  FC (Foreing currency)</v>
      </c>
      <c r="B20" s="103">
        <v>3.4579870567157632E-2</v>
      </c>
      <c r="C20" s="103">
        <v>3.6154314198971277E-2</v>
      </c>
      <c r="D20" s="103">
        <v>3.4652948802462828E-2</v>
      </c>
      <c r="E20" s="103">
        <v>3.6796658816103701E-2</v>
      </c>
      <c r="F20" s="103">
        <v>3.9274181557229879E-2</v>
      </c>
      <c r="G20" s="103">
        <v>4.0612259819175295E-2</v>
      </c>
      <c r="H20" s="103">
        <v>4.1036416351684007E-2</v>
      </c>
      <c r="N20" s="99"/>
      <c r="O20" s="99"/>
      <c r="P20" s="99"/>
      <c r="Q20" s="99"/>
      <c r="R20" s="99"/>
    </row>
    <row r="21" spans="1:18">
      <c r="A21" s="92"/>
      <c r="B21" s="102"/>
      <c r="C21" s="102"/>
      <c r="D21" s="102"/>
      <c r="E21" s="102"/>
      <c r="F21" s="102"/>
      <c r="G21" s="102"/>
      <c r="H21" s="102"/>
      <c r="N21" s="99"/>
      <c r="O21" s="99"/>
      <c r="P21" s="99"/>
      <c r="Q21" s="99"/>
      <c r="R21" s="99"/>
    </row>
    <row r="22" spans="1:18">
      <c r="A22" s="95" t="str">
        <f>HLOOKUP(INDICE!$F$2,Nombres!$C$3:$E$853,359)</f>
        <v>Yield on Loans</v>
      </c>
      <c r="B22" s="96">
        <v>0.13153224347269671</v>
      </c>
      <c r="C22" s="96">
        <v>0.13483007063916799</v>
      </c>
      <c r="D22" s="96">
        <v>0.13751342302403086</v>
      </c>
      <c r="E22" s="96">
        <v>0.14059034708960491</v>
      </c>
      <c r="F22" s="96">
        <v>0.14554577253318232</v>
      </c>
      <c r="G22" s="96">
        <v>0.15143260905857156</v>
      </c>
      <c r="H22" s="102">
        <v>0.17188405891396352</v>
      </c>
      <c r="I22" s="98"/>
      <c r="J22" s="98"/>
      <c r="K22" s="98"/>
      <c r="L22" s="98"/>
      <c r="N22" s="99"/>
      <c r="O22" s="99"/>
      <c r="P22" s="99"/>
      <c r="Q22" s="99"/>
      <c r="R22" s="99"/>
    </row>
    <row r="23" spans="1:18">
      <c r="A23" s="95" t="str">
        <f>HLOOKUP(INDICE!$F$2,Nombres!$C$3:$E$853,360)</f>
        <v>Cost of Deposits</v>
      </c>
      <c r="B23" s="96">
        <v>-7.6480199352827391E-2</v>
      </c>
      <c r="C23" s="96">
        <v>-8.2452595927317962E-2</v>
      </c>
      <c r="D23" s="96">
        <v>-8.863560201244565E-2</v>
      </c>
      <c r="E23" s="96">
        <v>-9.1592666799423086E-2</v>
      </c>
      <c r="F23" s="96">
        <v>-9.6194372590851313E-2</v>
      </c>
      <c r="G23" s="96">
        <v>-9.9617531776267004E-2</v>
      </c>
      <c r="H23" s="102">
        <v>-0.13170590040159544</v>
      </c>
      <c r="I23" s="98"/>
      <c r="J23" s="98"/>
      <c r="K23" s="98"/>
      <c r="L23" s="98"/>
      <c r="N23" s="99"/>
      <c r="O23" s="99"/>
      <c r="P23" s="99"/>
      <c r="Q23" s="99"/>
      <c r="R23" s="99"/>
    </row>
    <row r="24" spans="1:18">
      <c r="A24" s="77" t="str">
        <f>HLOOKUP(INDICE!$F$2,Nombres!$C$3:$E$853,418)</f>
        <v>Turkey TRY</v>
      </c>
      <c r="B24" s="100">
        <v>5.5052044119869317E-2</v>
      </c>
      <c r="C24" s="100">
        <v>5.2377474711850031E-2</v>
      </c>
      <c r="D24" s="100">
        <v>4.8877821011585193E-2</v>
      </c>
      <c r="E24" s="100">
        <v>4.8997680290181818E-2</v>
      </c>
      <c r="F24" s="100">
        <v>4.9351399942331009E-2</v>
      </c>
      <c r="G24" s="100">
        <v>5.1815077282304556E-2</v>
      </c>
      <c r="H24" s="103">
        <v>4.0178158512368098E-2</v>
      </c>
      <c r="I24" s="98"/>
      <c r="J24" s="98"/>
      <c r="K24" s="98"/>
      <c r="L24" s="98"/>
      <c r="N24" s="99"/>
      <c r="O24" s="99"/>
      <c r="P24" s="99"/>
      <c r="Q24" s="99"/>
      <c r="R24" s="99"/>
    </row>
    <row r="25" spans="1:18">
      <c r="A25" s="77"/>
      <c r="B25" s="100"/>
      <c r="C25" s="100"/>
      <c r="D25" s="100"/>
      <c r="E25" s="100"/>
      <c r="F25" s="100"/>
      <c r="G25" s="100"/>
      <c r="H25" s="102"/>
      <c r="I25" s="98"/>
      <c r="J25" s="98"/>
      <c r="K25" s="98"/>
      <c r="L25" s="98"/>
      <c r="N25" s="99"/>
      <c r="O25" s="99"/>
      <c r="P25" s="99"/>
      <c r="Q25" s="99"/>
      <c r="R25" s="99"/>
    </row>
    <row r="26" spans="1:18">
      <c r="A26" s="95" t="str">
        <f>HLOOKUP(INDICE!$F$2,Nombres!$C$3:$E$853,359)</f>
        <v>Yield on Loans</v>
      </c>
      <c r="B26" s="104">
        <v>5.6347193207093402E-2</v>
      </c>
      <c r="C26" s="104">
        <v>5.7611422045060846E-2</v>
      </c>
      <c r="D26" s="104">
        <v>5.9546946138633448E-2</v>
      </c>
      <c r="E26" s="104">
        <v>6.1378000189075757E-2</v>
      </c>
      <c r="F26" s="104">
        <v>6.4526239711017383E-2</v>
      </c>
      <c r="G26" s="104">
        <v>6.7897552004182099E-2</v>
      </c>
      <c r="H26" s="102">
        <v>7.0882852039258232E-2</v>
      </c>
      <c r="I26" s="98"/>
      <c r="J26" s="98"/>
      <c r="K26" s="98"/>
      <c r="L26" s="98"/>
      <c r="N26" s="99"/>
      <c r="O26" s="99"/>
      <c r="P26" s="99"/>
      <c r="Q26" s="99"/>
      <c r="R26" s="99"/>
    </row>
    <row r="27" spans="1:18">
      <c r="A27" s="95" t="str">
        <f>HLOOKUP(INDICE!$F$2,Nombres!$C$3:$E$853,360)</f>
        <v>Cost of Deposits</v>
      </c>
      <c r="B27" s="104">
        <v>-1.9042892348961057E-2</v>
      </c>
      <c r="C27" s="104">
        <v>-2.0180375083590892E-2</v>
      </c>
      <c r="D27" s="104">
        <v>-2.0740113137669717E-2</v>
      </c>
      <c r="E27" s="104">
        <v>-2.1016971923562097E-2</v>
      </c>
      <c r="F27" s="104">
        <v>-2.2898271597928347E-2</v>
      </c>
      <c r="G27" s="104">
        <v>-2.3538255318095329E-2</v>
      </c>
      <c r="H27" s="102">
        <v>-2.6152993463748837E-2</v>
      </c>
      <c r="I27" s="98"/>
      <c r="J27" s="98"/>
      <c r="K27" s="98"/>
      <c r="L27" s="98"/>
      <c r="N27" s="99"/>
      <c r="O27" s="99"/>
      <c r="P27" s="99"/>
      <c r="Q27" s="99"/>
      <c r="R27" s="99"/>
    </row>
    <row r="28" spans="1:18">
      <c r="A28" s="77" t="str">
        <f>HLOOKUP(INDICE!$F$2,Nombres!$C$3:$E$853,419)</f>
        <v>Turkey FC (Foreing currency)</v>
      </c>
      <c r="B28" s="100">
        <v>3.7304300858132348E-2</v>
      </c>
      <c r="C28" s="100">
        <v>3.7431046961469955E-2</v>
      </c>
      <c r="D28" s="100">
        <v>3.8806833000963735E-2</v>
      </c>
      <c r="E28" s="100">
        <v>4.036102826551366E-2</v>
      </c>
      <c r="F28" s="100">
        <v>4.1627968113089039E-2</v>
      </c>
      <c r="G28" s="100">
        <v>4.4359296686086763E-2</v>
      </c>
      <c r="H28" s="103">
        <v>4.4729858575509394E-2</v>
      </c>
      <c r="I28" s="98"/>
      <c r="J28" s="98"/>
      <c r="K28" s="98"/>
      <c r="L28" s="98"/>
      <c r="N28" s="99"/>
      <c r="O28" s="99"/>
      <c r="P28" s="99"/>
      <c r="Q28" s="99"/>
      <c r="R28" s="99"/>
    </row>
    <row r="29" spans="1:18">
      <c r="A29" s="92"/>
      <c r="B29" s="102"/>
      <c r="C29" s="102"/>
      <c r="D29" s="102"/>
      <c r="E29" s="102"/>
      <c r="F29" s="102"/>
      <c r="G29" s="102"/>
      <c r="H29" s="102"/>
      <c r="N29" s="99"/>
      <c r="O29" s="99"/>
      <c r="P29" s="99"/>
      <c r="Q29" s="99"/>
      <c r="R29" s="99"/>
    </row>
    <row r="30" spans="1:18">
      <c r="A30" s="95" t="str">
        <f>HLOOKUP(INDICE!$F$2,Nombres!$C$3:$E$853,359)</f>
        <v>Yield on Loans</v>
      </c>
      <c r="B30" s="96">
        <v>0.21184033002842004</v>
      </c>
      <c r="C30" s="96">
        <v>0.19968303425160655</v>
      </c>
      <c r="D30" s="96">
        <v>0.18625371269277072</v>
      </c>
      <c r="E30" s="96">
        <v>0.18767630601885002</v>
      </c>
      <c r="F30" s="96">
        <v>0.19287058493680043</v>
      </c>
      <c r="G30" s="96">
        <v>0.20716574159051049</v>
      </c>
      <c r="H30" s="96">
        <v>0.23997530225748073</v>
      </c>
      <c r="I30" s="98"/>
      <c r="J30" s="98"/>
      <c r="K30" s="98"/>
      <c r="L30" s="98"/>
      <c r="N30" s="99"/>
      <c r="O30" s="99"/>
      <c r="P30" s="99"/>
      <c r="Q30" s="99"/>
      <c r="R30" s="99"/>
    </row>
    <row r="31" spans="1:18">
      <c r="A31" s="95" t="str">
        <f>HLOOKUP(INDICE!$F$2,Nombres!$C$3:$E$853,360)</f>
        <v>Cost of Deposits</v>
      </c>
      <c r="B31" s="96">
        <v>-5.4554625122488709E-2</v>
      </c>
      <c r="C31" s="96">
        <v>-5.2444105266940391E-2</v>
      </c>
      <c r="D31" s="96">
        <v>-5.160034053398644E-2</v>
      </c>
      <c r="E31" s="96">
        <v>-5.6536845519369543E-2</v>
      </c>
      <c r="F31" s="96">
        <v>-6.5890990065882171E-2</v>
      </c>
      <c r="G31" s="96">
        <v>-7.4260637898548754E-2</v>
      </c>
      <c r="H31" s="96">
        <v>-9.8461244221605904E-2</v>
      </c>
      <c r="I31" s="98"/>
      <c r="J31" s="98"/>
      <c r="K31" s="98"/>
      <c r="L31" s="98"/>
      <c r="N31" s="99"/>
      <c r="O31" s="99"/>
      <c r="P31" s="99"/>
      <c r="Q31" s="99"/>
      <c r="R31" s="99"/>
    </row>
    <row r="32" spans="1:18">
      <c r="A32" s="77" t="str">
        <f>HLOOKUP(INDICE!$F$2,Nombres!$C$3:$E$853,15)</f>
        <v>Argentina</v>
      </c>
      <c r="B32" s="100">
        <v>0.15728570490593133</v>
      </c>
      <c r="C32" s="100">
        <v>0.14723892898466617</v>
      </c>
      <c r="D32" s="100">
        <v>0.13465337215878428</v>
      </c>
      <c r="E32" s="100">
        <v>0.13113946049948047</v>
      </c>
      <c r="F32" s="100">
        <v>0.12697959487091826</v>
      </c>
      <c r="G32" s="100">
        <v>0.13290510369196173</v>
      </c>
      <c r="H32" s="100">
        <v>0.14151405803587483</v>
      </c>
      <c r="I32" s="98"/>
      <c r="J32" s="98"/>
      <c r="K32" s="98"/>
      <c r="L32" s="98"/>
      <c r="N32" s="99"/>
      <c r="O32" s="99"/>
      <c r="P32" s="99"/>
      <c r="Q32" s="99"/>
      <c r="R32" s="99"/>
    </row>
    <row r="33" spans="1:18">
      <c r="A33" s="92"/>
      <c r="B33" s="102"/>
      <c r="C33" s="102"/>
      <c r="D33" s="102"/>
      <c r="E33" s="102"/>
      <c r="F33" s="102"/>
      <c r="G33" s="102"/>
      <c r="H33" s="102"/>
      <c r="N33" s="99"/>
      <c r="O33" s="99"/>
      <c r="P33" s="99"/>
      <c r="Q33" s="99"/>
      <c r="R33" s="99"/>
    </row>
    <row r="34" spans="1:18">
      <c r="A34" s="95" t="str">
        <f>HLOOKUP(INDICE!$F$2,Nombres!$C$3:$E$853,359)</f>
        <v>Yield on Loans</v>
      </c>
      <c r="B34" s="96">
        <v>6.4239459978904775E-2</v>
      </c>
      <c r="C34" s="96">
        <v>6.7102268792978675E-2</v>
      </c>
      <c r="D34" s="96">
        <v>5.467495911830203E-2</v>
      </c>
      <c r="E34" s="96">
        <v>6.2666399351485241E-2</v>
      </c>
      <c r="F34" s="96">
        <v>6.4083052746411046E-2</v>
      </c>
      <c r="G34" s="96">
        <v>6.4880866872754489E-2</v>
      </c>
      <c r="H34" s="105"/>
      <c r="I34" s="98"/>
      <c r="J34" s="98"/>
      <c r="K34" s="98"/>
      <c r="L34" s="98"/>
      <c r="N34" s="99"/>
      <c r="O34" s="99"/>
      <c r="P34" s="99"/>
      <c r="Q34" s="99"/>
      <c r="R34" s="99"/>
    </row>
    <row r="35" spans="1:18">
      <c r="A35" s="95" t="str">
        <f>HLOOKUP(INDICE!$F$2,Nombres!$C$3:$E$853,360)</f>
        <v>Cost of Deposits</v>
      </c>
      <c r="B35" s="96">
        <v>-2.6653237039727815E-2</v>
      </c>
      <c r="C35" s="96">
        <v>-2.547704900376721E-2</v>
      </c>
      <c r="D35" s="96">
        <v>-2.1548966375485333E-2</v>
      </c>
      <c r="E35" s="96">
        <v>-2.3358505982954303E-2</v>
      </c>
      <c r="F35" s="96">
        <v>-2.3960273790613273E-2</v>
      </c>
      <c r="G35" s="96">
        <v>-2.3954315750008184E-2</v>
      </c>
      <c r="H35" s="105"/>
      <c r="I35" s="98"/>
      <c r="J35" s="98"/>
      <c r="K35" s="98"/>
      <c r="L35" s="98"/>
      <c r="N35" s="99"/>
      <c r="O35" s="99"/>
      <c r="P35" s="99"/>
      <c r="Q35" s="99"/>
      <c r="R35" s="99"/>
    </row>
    <row r="36" spans="1:18">
      <c r="A36" s="77" t="str">
        <f>HLOOKUP(INDICE!$F$2,Nombres!$C$3:$E$853,16)</f>
        <v>Chile</v>
      </c>
      <c r="B36" s="100">
        <v>3.7586222939176961E-2</v>
      </c>
      <c r="C36" s="100">
        <v>4.1625219789211465E-2</v>
      </c>
      <c r="D36" s="100">
        <v>3.3125992742816697E-2</v>
      </c>
      <c r="E36" s="100">
        <v>3.9307893368530938E-2</v>
      </c>
      <c r="F36" s="100">
        <v>4.0122778955797772E-2</v>
      </c>
      <c r="G36" s="100">
        <v>4.0926551122746305E-2</v>
      </c>
      <c r="H36" s="106"/>
      <c r="I36" s="98"/>
      <c r="J36" s="98"/>
      <c r="K36" s="98"/>
      <c r="L36" s="98"/>
      <c r="N36" s="99"/>
      <c r="O36" s="99"/>
      <c r="P36" s="99"/>
      <c r="Q36" s="99"/>
      <c r="R36" s="99"/>
    </row>
    <row r="37" spans="1:18">
      <c r="A37" s="92"/>
      <c r="B37" s="102"/>
      <c r="C37" s="102"/>
      <c r="D37" s="102"/>
      <c r="E37" s="102"/>
      <c r="F37" s="102"/>
      <c r="G37" s="102"/>
      <c r="H37" s="102"/>
      <c r="N37" s="99"/>
      <c r="O37" s="99"/>
      <c r="P37" s="99"/>
      <c r="Q37" s="99"/>
      <c r="R37" s="99"/>
    </row>
    <row r="38" spans="1:18">
      <c r="A38" s="95" t="str">
        <f>HLOOKUP(INDICE!$F$2,Nombres!$C$3:$E$853,359)</f>
        <v>Yield on Loans</v>
      </c>
      <c r="B38" s="96">
        <v>0.12081020912771791</v>
      </c>
      <c r="C38" s="96">
        <v>0.11944702337423532</v>
      </c>
      <c r="D38" s="96">
        <v>0.11621410330559201</v>
      </c>
      <c r="E38" s="96">
        <v>0.11373837546063584</v>
      </c>
      <c r="F38" s="96">
        <v>0.11313129929927329</v>
      </c>
      <c r="G38" s="96">
        <v>0.11217879190283801</v>
      </c>
      <c r="H38" s="96">
        <v>0.10985605664820579</v>
      </c>
      <c r="I38" s="98"/>
      <c r="J38" s="98"/>
      <c r="K38" s="98"/>
      <c r="L38" s="98"/>
      <c r="N38" s="99"/>
      <c r="O38" s="99"/>
      <c r="P38" s="99"/>
      <c r="Q38" s="99"/>
      <c r="R38" s="99"/>
    </row>
    <row r="39" spans="1:18">
      <c r="A39" s="95" t="str">
        <f>HLOOKUP(INDICE!$F$2,Nombres!$C$3:$E$853,360)</f>
        <v>Cost of Deposits</v>
      </c>
      <c r="B39" s="96">
        <v>-5.7630105283186052E-2</v>
      </c>
      <c r="C39" s="96">
        <v>-5.4205717119129943E-2</v>
      </c>
      <c r="D39" s="96">
        <v>-4.83861164941033E-2</v>
      </c>
      <c r="E39" s="96">
        <v>-4.7732225933961585E-2</v>
      </c>
      <c r="F39" s="96">
        <v>-4.5979262866492204E-2</v>
      </c>
      <c r="G39" s="96">
        <v>-4.4322978819227324E-2</v>
      </c>
      <c r="H39" s="96">
        <v>-4.2055706477700072E-2</v>
      </c>
      <c r="I39" s="98"/>
      <c r="J39" s="98"/>
      <c r="K39" s="98"/>
      <c r="L39" s="98"/>
      <c r="N39" s="99"/>
      <c r="O39" s="99"/>
      <c r="P39" s="99"/>
      <c r="Q39" s="99"/>
      <c r="R39" s="99"/>
    </row>
    <row r="40" spans="1:18">
      <c r="A40" s="77" t="str">
        <f>HLOOKUP(INDICE!$F$2,Nombres!$C$3:$E$853,17)</f>
        <v>Colombia</v>
      </c>
      <c r="B40" s="100">
        <v>6.3180103844531849E-2</v>
      </c>
      <c r="C40" s="100">
        <v>6.524130625510538E-2</v>
      </c>
      <c r="D40" s="100">
        <v>6.7827986811488716E-2</v>
      </c>
      <c r="E40" s="100">
        <v>6.6006149526674246E-2</v>
      </c>
      <c r="F40" s="100">
        <v>6.7152036432781087E-2</v>
      </c>
      <c r="G40" s="100">
        <v>6.7855813083610689E-2</v>
      </c>
      <c r="H40" s="100">
        <v>6.7800350170505716E-2</v>
      </c>
      <c r="I40" s="98"/>
      <c r="J40" s="98"/>
      <c r="K40" s="98"/>
      <c r="L40" s="98"/>
      <c r="N40" s="99"/>
      <c r="O40" s="99"/>
      <c r="P40" s="99"/>
      <c r="Q40" s="99"/>
      <c r="R40" s="99"/>
    </row>
    <row r="41" spans="1:18">
      <c r="A41" s="92"/>
      <c r="B41" s="102"/>
      <c r="C41" s="102"/>
      <c r="D41" s="102"/>
      <c r="E41" s="102"/>
      <c r="F41" s="102"/>
      <c r="G41" s="102"/>
      <c r="H41" s="102"/>
      <c r="N41" s="99"/>
      <c r="O41" s="99"/>
      <c r="P41" s="99"/>
      <c r="Q41" s="99"/>
      <c r="R41" s="99"/>
    </row>
    <row r="42" spans="1:18">
      <c r="A42" s="95" t="str">
        <f>HLOOKUP(INDICE!$F$2,Nombres!$C$3:$E$853,359)</f>
        <v>Yield on Loans</v>
      </c>
      <c r="B42" s="96">
        <v>8.2269358146013133E-2</v>
      </c>
      <c r="C42" s="96">
        <v>8.321617732751195E-2</v>
      </c>
      <c r="D42" s="96">
        <v>8.1682000008536898E-2</v>
      </c>
      <c r="E42" s="96">
        <v>7.8983222797094091E-2</v>
      </c>
      <c r="F42" s="96">
        <v>7.918122873714728E-2</v>
      </c>
      <c r="G42" s="96">
        <v>7.8406299061304821E-2</v>
      </c>
      <c r="H42" s="96">
        <v>7.837807578719011E-2</v>
      </c>
      <c r="I42" s="98"/>
      <c r="J42" s="98"/>
      <c r="K42" s="98"/>
      <c r="L42" s="98"/>
      <c r="N42" s="99"/>
      <c r="O42" s="99"/>
      <c r="P42" s="99"/>
      <c r="Q42" s="99"/>
      <c r="R42" s="99"/>
    </row>
    <row r="43" spans="1:18">
      <c r="A43" s="95" t="str">
        <f>HLOOKUP(INDICE!$F$2,Nombres!$C$3:$E$853,360)</f>
        <v>Cost of Deposits</v>
      </c>
      <c r="B43" s="96">
        <v>-1.3153831485724687E-2</v>
      </c>
      <c r="C43" s="96">
        <v>-1.4148794573095248E-2</v>
      </c>
      <c r="D43" s="96">
        <v>-1.3714437587332739E-2</v>
      </c>
      <c r="E43" s="96">
        <v>-1.3296840634042864E-2</v>
      </c>
      <c r="F43" s="96">
        <v>-1.1700318618599175E-2</v>
      </c>
      <c r="G43" s="96">
        <v>-1.0911456358656268E-2</v>
      </c>
      <c r="H43" s="96">
        <v>-1.1353494217558839E-2</v>
      </c>
      <c r="I43" s="98"/>
      <c r="J43" s="98"/>
      <c r="K43" s="98"/>
      <c r="L43" s="98"/>
      <c r="N43" s="99"/>
      <c r="O43" s="99"/>
      <c r="P43" s="99"/>
      <c r="Q43" s="99"/>
      <c r="R43" s="99"/>
    </row>
    <row r="44" spans="1:18">
      <c r="A44" s="77" t="str">
        <f>HLOOKUP(INDICE!$F$2,Nombres!$C$3:$E$853,18)</f>
        <v>Peru</v>
      </c>
      <c r="B44" s="100">
        <v>6.9115526660288445E-2</v>
      </c>
      <c r="C44" s="100">
        <v>6.9067382754416706E-2</v>
      </c>
      <c r="D44" s="100">
        <v>6.7967562421204164E-2</v>
      </c>
      <c r="E44" s="100">
        <v>6.5686382163051227E-2</v>
      </c>
      <c r="F44" s="100">
        <v>6.7480910118548107E-2</v>
      </c>
      <c r="G44" s="100">
        <v>6.749484270264855E-2</v>
      </c>
      <c r="H44" s="100">
        <v>6.7024581569631272E-2</v>
      </c>
      <c r="I44" s="98"/>
      <c r="J44" s="98"/>
      <c r="K44" s="98"/>
      <c r="L44" s="98"/>
      <c r="N44" s="99"/>
      <c r="O44" s="99"/>
      <c r="P44" s="99"/>
      <c r="Q44" s="99"/>
      <c r="R44" s="99"/>
    </row>
    <row r="45" spans="1:18">
      <c r="A45" s="92"/>
      <c r="B45" s="102"/>
      <c r="C45" s="102"/>
      <c r="D45" s="102"/>
      <c r="E45" s="102"/>
      <c r="F45" s="102"/>
      <c r="G45" s="102"/>
      <c r="H45" s="102"/>
      <c r="N45" s="99"/>
      <c r="O45" s="99"/>
      <c r="P45" s="99"/>
      <c r="Q45" s="99"/>
      <c r="R45" s="99"/>
    </row>
    <row r="46" spans="1:18">
      <c r="A46" s="107" t="str">
        <f>HLOOKUP(INDICE!$F$2,Nombres!$C$3:$E$853,324)</f>
        <v>(*) Difference between lending yield on loans and cost of deposits from customers.</v>
      </c>
      <c r="B46" s="84"/>
      <c r="C46" s="84"/>
      <c r="D46" s="84"/>
      <c r="E46" s="84"/>
      <c r="F46" s="325"/>
      <c r="G46" s="325"/>
      <c r="H46" s="84"/>
    </row>
    <row r="47" spans="1:18">
      <c r="A47" s="107" t="str">
        <f>HLOOKUP(INDICE!$F$2,Nombres!$C$3:$E$853,325)</f>
        <v>(**) Excluding New York Business Activity.</v>
      </c>
      <c r="B47" s="84"/>
      <c r="C47" s="84"/>
      <c r="D47" s="84"/>
      <c r="E47" s="84"/>
      <c r="F47" s="84"/>
      <c r="G47" s="84"/>
      <c r="H47" s="84"/>
    </row>
    <row r="48" spans="1:18">
      <c r="A48" s="107" t="str">
        <f>HLOOKUP(INDICE!$F$2,Nombres!$C$3:$E$853,420)</f>
        <v>Note: Customer spreads have been restated.</v>
      </c>
    </row>
  </sheetData>
  <mergeCells count="3">
    <mergeCell ref="B3:E3"/>
    <mergeCell ref="F3:H3"/>
    <mergeCell ref="F46:G4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85" zoomScaleNormal="85" workbookViewId="0"/>
  </sheetViews>
  <sheetFormatPr baseColWidth="10" defaultRowHeight="15"/>
  <cols>
    <col min="1" max="1" width="40.28515625" customWidth="1"/>
    <col min="2" max="2" width="15.85546875" customWidth="1"/>
    <col min="3" max="3" width="14.140625" customWidth="1"/>
    <col min="4" max="4" width="14.5703125" customWidth="1"/>
    <col min="5" max="5" width="13.42578125" customWidth="1"/>
    <col min="6" max="6" width="12.85546875" customWidth="1"/>
    <col min="7" max="10" width="11.42578125" customWidth="1"/>
    <col min="11" max="12" width="14.7109375" bestFit="1" customWidth="1"/>
    <col min="257" max="257" width="40.28515625" customWidth="1"/>
    <col min="258" max="258" width="15.85546875" customWidth="1"/>
    <col min="259" max="259" width="14.140625" customWidth="1"/>
    <col min="260" max="260" width="14.5703125" customWidth="1"/>
    <col min="261" max="261" width="13.42578125" customWidth="1"/>
    <col min="262" max="262" width="12.85546875" customWidth="1"/>
    <col min="263" max="266" width="11.42578125" customWidth="1"/>
    <col min="267" max="268" width="14.7109375" bestFit="1" customWidth="1"/>
    <col min="513" max="513" width="40.28515625" customWidth="1"/>
    <col min="514" max="514" width="15.85546875" customWidth="1"/>
    <col min="515" max="515" width="14.140625" customWidth="1"/>
    <col min="516" max="516" width="14.5703125" customWidth="1"/>
    <col min="517" max="517" width="13.42578125" customWidth="1"/>
    <col min="518" max="518" width="12.85546875" customWidth="1"/>
    <col min="519" max="522" width="11.42578125" customWidth="1"/>
    <col min="523" max="524" width="14.7109375" bestFit="1" customWidth="1"/>
    <col min="769" max="769" width="40.28515625" customWidth="1"/>
    <col min="770" max="770" width="15.85546875" customWidth="1"/>
    <col min="771" max="771" width="14.140625" customWidth="1"/>
    <col min="772" max="772" width="14.5703125" customWidth="1"/>
    <col min="773" max="773" width="13.42578125" customWidth="1"/>
    <col min="774" max="774" width="12.85546875" customWidth="1"/>
    <col min="775" max="778" width="11.42578125" customWidth="1"/>
    <col min="779" max="780" width="14.7109375" bestFit="1" customWidth="1"/>
    <col min="1025" max="1025" width="40.28515625" customWidth="1"/>
    <col min="1026" max="1026" width="15.85546875" customWidth="1"/>
    <col min="1027" max="1027" width="14.140625" customWidth="1"/>
    <col min="1028" max="1028" width="14.5703125" customWidth="1"/>
    <col min="1029" max="1029" width="13.42578125" customWidth="1"/>
    <col min="1030" max="1030" width="12.85546875" customWidth="1"/>
    <col min="1031" max="1034" width="11.42578125" customWidth="1"/>
    <col min="1035" max="1036" width="14.7109375" bestFit="1" customWidth="1"/>
    <col min="1281" max="1281" width="40.28515625" customWidth="1"/>
    <col min="1282" max="1282" width="15.85546875" customWidth="1"/>
    <col min="1283" max="1283" width="14.140625" customWidth="1"/>
    <col min="1284" max="1284" width="14.5703125" customWidth="1"/>
    <col min="1285" max="1285" width="13.42578125" customWidth="1"/>
    <col min="1286" max="1286" width="12.85546875" customWidth="1"/>
    <col min="1287" max="1290" width="11.42578125" customWidth="1"/>
    <col min="1291" max="1292" width="14.7109375" bestFit="1" customWidth="1"/>
    <col min="1537" max="1537" width="40.28515625" customWidth="1"/>
    <col min="1538" max="1538" width="15.85546875" customWidth="1"/>
    <col min="1539" max="1539" width="14.140625" customWidth="1"/>
    <col min="1540" max="1540" width="14.5703125" customWidth="1"/>
    <col min="1541" max="1541" width="13.42578125" customWidth="1"/>
    <col min="1542" max="1542" width="12.85546875" customWidth="1"/>
    <col min="1543" max="1546" width="11.42578125" customWidth="1"/>
    <col min="1547" max="1548" width="14.7109375" bestFit="1" customWidth="1"/>
    <col min="1793" max="1793" width="40.28515625" customWidth="1"/>
    <col min="1794" max="1794" width="15.85546875" customWidth="1"/>
    <col min="1795" max="1795" width="14.140625" customWidth="1"/>
    <col min="1796" max="1796" width="14.5703125" customWidth="1"/>
    <col min="1797" max="1797" width="13.42578125" customWidth="1"/>
    <col min="1798" max="1798" width="12.85546875" customWidth="1"/>
    <col min="1799" max="1802" width="11.42578125" customWidth="1"/>
    <col min="1803" max="1804" width="14.7109375" bestFit="1" customWidth="1"/>
    <col min="2049" max="2049" width="40.28515625" customWidth="1"/>
    <col min="2050" max="2050" width="15.85546875" customWidth="1"/>
    <col min="2051" max="2051" width="14.140625" customWidth="1"/>
    <col min="2052" max="2052" width="14.5703125" customWidth="1"/>
    <col min="2053" max="2053" width="13.42578125" customWidth="1"/>
    <col min="2054" max="2054" width="12.85546875" customWidth="1"/>
    <col min="2055" max="2058" width="11.42578125" customWidth="1"/>
    <col min="2059" max="2060" width="14.7109375" bestFit="1" customWidth="1"/>
    <col min="2305" max="2305" width="40.28515625" customWidth="1"/>
    <col min="2306" max="2306" width="15.85546875" customWidth="1"/>
    <col min="2307" max="2307" width="14.140625" customWidth="1"/>
    <col min="2308" max="2308" width="14.5703125" customWidth="1"/>
    <col min="2309" max="2309" width="13.42578125" customWidth="1"/>
    <col min="2310" max="2310" width="12.85546875" customWidth="1"/>
    <col min="2311" max="2314" width="11.42578125" customWidth="1"/>
    <col min="2315" max="2316" width="14.7109375" bestFit="1" customWidth="1"/>
    <col min="2561" max="2561" width="40.28515625" customWidth="1"/>
    <col min="2562" max="2562" width="15.85546875" customWidth="1"/>
    <col min="2563" max="2563" width="14.140625" customWidth="1"/>
    <col min="2564" max="2564" width="14.5703125" customWidth="1"/>
    <col min="2565" max="2565" width="13.42578125" customWidth="1"/>
    <col min="2566" max="2566" width="12.85546875" customWidth="1"/>
    <col min="2567" max="2570" width="11.42578125" customWidth="1"/>
    <col min="2571" max="2572" width="14.7109375" bestFit="1" customWidth="1"/>
    <col min="2817" max="2817" width="40.28515625" customWidth="1"/>
    <col min="2818" max="2818" width="15.85546875" customWidth="1"/>
    <col min="2819" max="2819" width="14.140625" customWidth="1"/>
    <col min="2820" max="2820" width="14.5703125" customWidth="1"/>
    <col min="2821" max="2821" width="13.42578125" customWidth="1"/>
    <col min="2822" max="2822" width="12.85546875" customWidth="1"/>
    <col min="2823" max="2826" width="11.42578125" customWidth="1"/>
    <col min="2827" max="2828" width="14.7109375" bestFit="1" customWidth="1"/>
    <col min="3073" max="3073" width="40.28515625" customWidth="1"/>
    <col min="3074" max="3074" width="15.85546875" customWidth="1"/>
    <col min="3075" max="3075" width="14.140625" customWidth="1"/>
    <col min="3076" max="3076" width="14.5703125" customWidth="1"/>
    <col min="3077" max="3077" width="13.42578125" customWidth="1"/>
    <col min="3078" max="3078" width="12.85546875" customWidth="1"/>
    <col min="3079" max="3082" width="11.42578125" customWidth="1"/>
    <col min="3083" max="3084" width="14.7109375" bestFit="1" customWidth="1"/>
    <col min="3329" max="3329" width="40.28515625" customWidth="1"/>
    <col min="3330" max="3330" width="15.85546875" customWidth="1"/>
    <col min="3331" max="3331" width="14.140625" customWidth="1"/>
    <col min="3332" max="3332" width="14.5703125" customWidth="1"/>
    <col min="3333" max="3333" width="13.42578125" customWidth="1"/>
    <col min="3334" max="3334" width="12.85546875" customWidth="1"/>
    <col min="3335" max="3338" width="11.42578125" customWidth="1"/>
    <col min="3339" max="3340" width="14.7109375" bestFit="1" customWidth="1"/>
    <col min="3585" max="3585" width="40.28515625" customWidth="1"/>
    <col min="3586" max="3586" width="15.85546875" customWidth="1"/>
    <col min="3587" max="3587" width="14.140625" customWidth="1"/>
    <col min="3588" max="3588" width="14.5703125" customWidth="1"/>
    <col min="3589" max="3589" width="13.42578125" customWidth="1"/>
    <col min="3590" max="3590" width="12.85546875" customWidth="1"/>
    <col min="3591" max="3594" width="11.42578125" customWidth="1"/>
    <col min="3595" max="3596" width="14.7109375" bestFit="1" customWidth="1"/>
    <col min="3841" max="3841" width="40.28515625" customWidth="1"/>
    <col min="3842" max="3842" width="15.85546875" customWidth="1"/>
    <col min="3843" max="3843" width="14.140625" customWidth="1"/>
    <col min="3844" max="3844" width="14.5703125" customWidth="1"/>
    <col min="3845" max="3845" width="13.42578125" customWidth="1"/>
    <col min="3846" max="3846" width="12.85546875" customWidth="1"/>
    <col min="3847" max="3850" width="11.42578125" customWidth="1"/>
    <col min="3851" max="3852" width="14.7109375" bestFit="1" customWidth="1"/>
    <col min="4097" max="4097" width="40.28515625" customWidth="1"/>
    <col min="4098" max="4098" width="15.85546875" customWidth="1"/>
    <col min="4099" max="4099" width="14.140625" customWidth="1"/>
    <col min="4100" max="4100" width="14.5703125" customWidth="1"/>
    <col min="4101" max="4101" width="13.42578125" customWidth="1"/>
    <col min="4102" max="4102" width="12.85546875" customWidth="1"/>
    <col min="4103" max="4106" width="11.42578125" customWidth="1"/>
    <col min="4107" max="4108" width="14.7109375" bestFit="1" customWidth="1"/>
    <col min="4353" max="4353" width="40.28515625" customWidth="1"/>
    <col min="4354" max="4354" width="15.85546875" customWidth="1"/>
    <col min="4355" max="4355" width="14.140625" customWidth="1"/>
    <col min="4356" max="4356" width="14.5703125" customWidth="1"/>
    <col min="4357" max="4357" width="13.42578125" customWidth="1"/>
    <col min="4358" max="4358" width="12.85546875" customWidth="1"/>
    <col min="4359" max="4362" width="11.42578125" customWidth="1"/>
    <col min="4363" max="4364" width="14.7109375" bestFit="1" customWidth="1"/>
    <col min="4609" max="4609" width="40.28515625" customWidth="1"/>
    <col min="4610" max="4610" width="15.85546875" customWidth="1"/>
    <col min="4611" max="4611" width="14.140625" customWidth="1"/>
    <col min="4612" max="4612" width="14.5703125" customWidth="1"/>
    <col min="4613" max="4613" width="13.42578125" customWidth="1"/>
    <col min="4614" max="4614" width="12.85546875" customWidth="1"/>
    <col min="4615" max="4618" width="11.42578125" customWidth="1"/>
    <col min="4619" max="4620" width="14.7109375" bestFit="1" customWidth="1"/>
    <col min="4865" max="4865" width="40.28515625" customWidth="1"/>
    <col min="4866" max="4866" width="15.85546875" customWidth="1"/>
    <col min="4867" max="4867" width="14.140625" customWidth="1"/>
    <col min="4868" max="4868" width="14.5703125" customWidth="1"/>
    <col min="4869" max="4869" width="13.42578125" customWidth="1"/>
    <col min="4870" max="4870" width="12.85546875" customWidth="1"/>
    <col min="4871" max="4874" width="11.42578125" customWidth="1"/>
    <col min="4875" max="4876" width="14.7109375" bestFit="1" customWidth="1"/>
    <col min="5121" max="5121" width="40.28515625" customWidth="1"/>
    <col min="5122" max="5122" width="15.85546875" customWidth="1"/>
    <col min="5123" max="5123" width="14.140625" customWidth="1"/>
    <col min="5124" max="5124" width="14.5703125" customWidth="1"/>
    <col min="5125" max="5125" width="13.42578125" customWidth="1"/>
    <col min="5126" max="5126" width="12.85546875" customWidth="1"/>
    <col min="5127" max="5130" width="11.42578125" customWidth="1"/>
    <col min="5131" max="5132" width="14.7109375" bestFit="1" customWidth="1"/>
    <col min="5377" max="5377" width="40.28515625" customWidth="1"/>
    <col min="5378" max="5378" width="15.85546875" customWidth="1"/>
    <col min="5379" max="5379" width="14.140625" customWidth="1"/>
    <col min="5380" max="5380" width="14.5703125" customWidth="1"/>
    <col min="5381" max="5381" width="13.42578125" customWidth="1"/>
    <col min="5382" max="5382" width="12.85546875" customWidth="1"/>
    <col min="5383" max="5386" width="11.42578125" customWidth="1"/>
    <col min="5387" max="5388" width="14.7109375" bestFit="1" customWidth="1"/>
    <col min="5633" max="5633" width="40.28515625" customWidth="1"/>
    <col min="5634" max="5634" width="15.85546875" customWidth="1"/>
    <col min="5635" max="5635" width="14.140625" customWidth="1"/>
    <col min="5636" max="5636" width="14.5703125" customWidth="1"/>
    <col min="5637" max="5637" width="13.42578125" customWidth="1"/>
    <col min="5638" max="5638" width="12.85546875" customWidth="1"/>
    <col min="5639" max="5642" width="11.42578125" customWidth="1"/>
    <col min="5643" max="5644" width="14.7109375" bestFit="1" customWidth="1"/>
    <col min="5889" max="5889" width="40.28515625" customWidth="1"/>
    <col min="5890" max="5890" width="15.85546875" customWidth="1"/>
    <col min="5891" max="5891" width="14.140625" customWidth="1"/>
    <col min="5892" max="5892" width="14.5703125" customWidth="1"/>
    <col min="5893" max="5893" width="13.42578125" customWidth="1"/>
    <col min="5894" max="5894" width="12.85546875" customWidth="1"/>
    <col min="5895" max="5898" width="11.42578125" customWidth="1"/>
    <col min="5899" max="5900" width="14.7109375" bestFit="1" customWidth="1"/>
    <col min="6145" max="6145" width="40.28515625" customWidth="1"/>
    <col min="6146" max="6146" width="15.85546875" customWidth="1"/>
    <col min="6147" max="6147" width="14.140625" customWidth="1"/>
    <col min="6148" max="6148" width="14.5703125" customWidth="1"/>
    <col min="6149" max="6149" width="13.42578125" customWidth="1"/>
    <col min="6150" max="6150" width="12.85546875" customWidth="1"/>
    <col min="6151" max="6154" width="11.42578125" customWidth="1"/>
    <col min="6155" max="6156" width="14.7109375" bestFit="1" customWidth="1"/>
    <col min="6401" max="6401" width="40.28515625" customWidth="1"/>
    <col min="6402" max="6402" width="15.85546875" customWidth="1"/>
    <col min="6403" max="6403" width="14.140625" customWidth="1"/>
    <col min="6404" max="6404" width="14.5703125" customWidth="1"/>
    <col min="6405" max="6405" width="13.42578125" customWidth="1"/>
    <col min="6406" max="6406" width="12.85546875" customWidth="1"/>
    <col min="6407" max="6410" width="11.42578125" customWidth="1"/>
    <col min="6411" max="6412" width="14.7109375" bestFit="1" customWidth="1"/>
    <col min="6657" max="6657" width="40.28515625" customWidth="1"/>
    <col min="6658" max="6658" width="15.85546875" customWidth="1"/>
    <col min="6659" max="6659" width="14.140625" customWidth="1"/>
    <col min="6660" max="6660" width="14.5703125" customWidth="1"/>
    <col min="6661" max="6661" width="13.42578125" customWidth="1"/>
    <col min="6662" max="6662" width="12.85546875" customWidth="1"/>
    <col min="6663" max="6666" width="11.42578125" customWidth="1"/>
    <col min="6667" max="6668" width="14.7109375" bestFit="1" customWidth="1"/>
    <col min="6913" max="6913" width="40.28515625" customWidth="1"/>
    <col min="6914" max="6914" width="15.85546875" customWidth="1"/>
    <col min="6915" max="6915" width="14.140625" customWidth="1"/>
    <col min="6916" max="6916" width="14.5703125" customWidth="1"/>
    <col min="6917" max="6917" width="13.42578125" customWidth="1"/>
    <col min="6918" max="6918" width="12.85546875" customWidth="1"/>
    <col min="6919" max="6922" width="11.42578125" customWidth="1"/>
    <col min="6923" max="6924" width="14.7109375" bestFit="1" customWidth="1"/>
    <col min="7169" max="7169" width="40.28515625" customWidth="1"/>
    <col min="7170" max="7170" width="15.85546875" customWidth="1"/>
    <col min="7171" max="7171" width="14.140625" customWidth="1"/>
    <col min="7172" max="7172" width="14.5703125" customWidth="1"/>
    <col min="7173" max="7173" width="13.42578125" customWidth="1"/>
    <col min="7174" max="7174" width="12.85546875" customWidth="1"/>
    <col min="7175" max="7178" width="11.42578125" customWidth="1"/>
    <col min="7179" max="7180" width="14.7109375" bestFit="1" customWidth="1"/>
    <col min="7425" max="7425" width="40.28515625" customWidth="1"/>
    <col min="7426" max="7426" width="15.85546875" customWidth="1"/>
    <col min="7427" max="7427" width="14.140625" customWidth="1"/>
    <col min="7428" max="7428" width="14.5703125" customWidth="1"/>
    <col min="7429" max="7429" width="13.42578125" customWidth="1"/>
    <col min="7430" max="7430" width="12.85546875" customWidth="1"/>
    <col min="7431" max="7434" width="11.42578125" customWidth="1"/>
    <col min="7435" max="7436" width="14.7109375" bestFit="1" customWidth="1"/>
    <col min="7681" max="7681" width="40.28515625" customWidth="1"/>
    <col min="7682" max="7682" width="15.85546875" customWidth="1"/>
    <col min="7683" max="7683" width="14.140625" customWidth="1"/>
    <col min="7684" max="7684" width="14.5703125" customWidth="1"/>
    <col min="7685" max="7685" width="13.42578125" customWidth="1"/>
    <col min="7686" max="7686" width="12.85546875" customWidth="1"/>
    <col min="7687" max="7690" width="11.42578125" customWidth="1"/>
    <col min="7691" max="7692" width="14.7109375" bestFit="1" customWidth="1"/>
    <col min="7937" max="7937" width="40.28515625" customWidth="1"/>
    <col min="7938" max="7938" width="15.85546875" customWidth="1"/>
    <col min="7939" max="7939" width="14.140625" customWidth="1"/>
    <col min="7940" max="7940" width="14.5703125" customWidth="1"/>
    <col min="7941" max="7941" width="13.42578125" customWidth="1"/>
    <col min="7942" max="7942" width="12.85546875" customWidth="1"/>
    <col min="7943" max="7946" width="11.42578125" customWidth="1"/>
    <col min="7947" max="7948" width="14.7109375" bestFit="1" customWidth="1"/>
    <col min="8193" max="8193" width="40.28515625" customWidth="1"/>
    <col min="8194" max="8194" width="15.85546875" customWidth="1"/>
    <col min="8195" max="8195" width="14.140625" customWidth="1"/>
    <col min="8196" max="8196" width="14.5703125" customWidth="1"/>
    <col min="8197" max="8197" width="13.42578125" customWidth="1"/>
    <col min="8198" max="8198" width="12.85546875" customWidth="1"/>
    <col min="8199" max="8202" width="11.42578125" customWidth="1"/>
    <col min="8203" max="8204" width="14.7109375" bestFit="1" customWidth="1"/>
    <col min="8449" max="8449" width="40.28515625" customWidth="1"/>
    <col min="8450" max="8450" width="15.85546875" customWidth="1"/>
    <col min="8451" max="8451" width="14.140625" customWidth="1"/>
    <col min="8452" max="8452" width="14.5703125" customWidth="1"/>
    <col min="8453" max="8453" width="13.42578125" customWidth="1"/>
    <col min="8454" max="8454" width="12.85546875" customWidth="1"/>
    <col min="8455" max="8458" width="11.42578125" customWidth="1"/>
    <col min="8459" max="8460" width="14.7109375" bestFit="1" customWidth="1"/>
    <col min="8705" max="8705" width="40.28515625" customWidth="1"/>
    <col min="8706" max="8706" width="15.85546875" customWidth="1"/>
    <col min="8707" max="8707" width="14.140625" customWidth="1"/>
    <col min="8708" max="8708" width="14.5703125" customWidth="1"/>
    <col min="8709" max="8709" width="13.42578125" customWidth="1"/>
    <col min="8710" max="8710" width="12.85546875" customWidth="1"/>
    <col min="8711" max="8714" width="11.42578125" customWidth="1"/>
    <col min="8715" max="8716" width="14.7109375" bestFit="1" customWidth="1"/>
    <col min="8961" max="8961" width="40.28515625" customWidth="1"/>
    <col min="8962" max="8962" width="15.85546875" customWidth="1"/>
    <col min="8963" max="8963" width="14.140625" customWidth="1"/>
    <col min="8964" max="8964" width="14.5703125" customWidth="1"/>
    <col min="8965" max="8965" width="13.42578125" customWidth="1"/>
    <col min="8966" max="8966" width="12.85546875" customWidth="1"/>
    <col min="8967" max="8970" width="11.42578125" customWidth="1"/>
    <col min="8971" max="8972" width="14.7109375" bestFit="1" customWidth="1"/>
    <col min="9217" max="9217" width="40.28515625" customWidth="1"/>
    <col min="9218" max="9218" width="15.85546875" customWidth="1"/>
    <col min="9219" max="9219" width="14.140625" customWidth="1"/>
    <col min="9220" max="9220" width="14.5703125" customWidth="1"/>
    <col min="9221" max="9221" width="13.42578125" customWidth="1"/>
    <col min="9222" max="9222" width="12.85546875" customWidth="1"/>
    <col min="9223" max="9226" width="11.42578125" customWidth="1"/>
    <col min="9227" max="9228" width="14.7109375" bestFit="1" customWidth="1"/>
    <col min="9473" max="9473" width="40.28515625" customWidth="1"/>
    <col min="9474" max="9474" width="15.85546875" customWidth="1"/>
    <col min="9475" max="9475" width="14.140625" customWidth="1"/>
    <col min="9476" max="9476" width="14.5703125" customWidth="1"/>
    <col min="9477" max="9477" width="13.42578125" customWidth="1"/>
    <col min="9478" max="9478" width="12.85546875" customWidth="1"/>
    <col min="9479" max="9482" width="11.42578125" customWidth="1"/>
    <col min="9483" max="9484" width="14.7109375" bestFit="1" customWidth="1"/>
    <col min="9729" max="9729" width="40.28515625" customWidth="1"/>
    <col min="9730" max="9730" width="15.85546875" customWidth="1"/>
    <col min="9731" max="9731" width="14.140625" customWidth="1"/>
    <col min="9732" max="9732" width="14.5703125" customWidth="1"/>
    <col min="9733" max="9733" width="13.42578125" customWidth="1"/>
    <col min="9734" max="9734" width="12.85546875" customWidth="1"/>
    <col min="9735" max="9738" width="11.42578125" customWidth="1"/>
    <col min="9739" max="9740" width="14.7109375" bestFit="1" customWidth="1"/>
    <col min="9985" max="9985" width="40.28515625" customWidth="1"/>
    <col min="9986" max="9986" width="15.85546875" customWidth="1"/>
    <col min="9987" max="9987" width="14.140625" customWidth="1"/>
    <col min="9988" max="9988" width="14.5703125" customWidth="1"/>
    <col min="9989" max="9989" width="13.42578125" customWidth="1"/>
    <col min="9990" max="9990" width="12.85546875" customWidth="1"/>
    <col min="9991" max="9994" width="11.42578125" customWidth="1"/>
    <col min="9995" max="9996" width="14.7109375" bestFit="1" customWidth="1"/>
    <col min="10241" max="10241" width="40.28515625" customWidth="1"/>
    <col min="10242" max="10242" width="15.85546875" customWidth="1"/>
    <col min="10243" max="10243" width="14.140625" customWidth="1"/>
    <col min="10244" max="10244" width="14.5703125" customWidth="1"/>
    <col min="10245" max="10245" width="13.42578125" customWidth="1"/>
    <col min="10246" max="10246" width="12.85546875" customWidth="1"/>
    <col min="10247" max="10250" width="11.42578125" customWidth="1"/>
    <col min="10251" max="10252" width="14.7109375" bestFit="1" customWidth="1"/>
    <col min="10497" max="10497" width="40.28515625" customWidth="1"/>
    <col min="10498" max="10498" width="15.85546875" customWidth="1"/>
    <col min="10499" max="10499" width="14.140625" customWidth="1"/>
    <col min="10500" max="10500" width="14.5703125" customWidth="1"/>
    <col min="10501" max="10501" width="13.42578125" customWidth="1"/>
    <col min="10502" max="10502" width="12.85546875" customWidth="1"/>
    <col min="10503" max="10506" width="11.42578125" customWidth="1"/>
    <col min="10507" max="10508" width="14.7109375" bestFit="1" customWidth="1"/>
    <col min="10753" max="10753" width="40.28515625" customWidth="1"/>
    <col min="10754" max="10754" width="15.85546875" customWidth="1"/>
    <col min="10755" max="10755" width="14.140625" customWidth="1"/>
    <col min="10756" max="10756" width="14.5703125" customWidth="1"/>
    <col min="10757" max="10757" width="13.42578125" customWidth="1"/>
    <col min="10758" max="10758" width="12.85546875" customWidth="1"/>
    <col min="10759" max="10762" width="11.42578125" customWidth="1"/>
    <col min="10763" max="10764" width="14.7109375" bestFit="1" customWidth="1"/>
    <col min="11009" max="11009" width="40.28515625" customWidth="1"/>
    <col min="11010" max="11010" width="15.85546875" customWidth="1"/>
    <col min="11011" max="11011" width="14.140625" customWidth="1"/>
    <col min="11012" max="11012" width="14.5703125" customWidth="1"/>
    <col min="11013" max="11013" width="13.42578125" customWidth="1"/>
    <col min="11014" max="11014" width="12.85546875" customWidth="1"/>
    <col min="11015" max="11018" width="11.42578125" customWidth="1"/>
    <col min="11019" max="11020" width="14.7109375" bestFit="1" customWidth="1"/>
    <col min="11265" max="11265" width="40.28515625" customWidth="1"/>
    <col min="11266" max="11266" width="15.85546875" customWidth="1"/>
    <col min="11267" max="11267" width="14.140625" customWidth="1"/>
    <col min="11268" max="11268" width="14.5703125" customWidth="1"/>
    <col min="11269" max="11269" width="13.42578125" customWidth="1"/>
    <col min="11270" max="11270" width="12.85546875" customWidth="1"/>
    <col min="11271" max="11274" width="11.42578125" customWidth="1"/>
    <col min="11275" max="11276" width="14.7109375" bestFit="1" customWidth="1"/>
    <col min="11521" max="11521" width="40.28515625" customWidth="1"/>
    <col min="11522" max="11522" width="15.85546875" customWidth="1"/>
    <col min="11523" max="11523" width="14.140625" customWidth="1"/>
    <col min="11524" max="11524" width="14.5703125" customWidth="1"/>
    <col min="11525" max="11525" width="13.42578125" customWidth="1"/>
    <col min="11526" max="11526" width="12.85546875" customWidth="1"/>
    <col min="11527" max="11530" width="11.42578125" customWidth="1"/>
    <col min="11531" max="11532" width="14.7109375" bestFit="1" customWidth="1"/>
    <col min="11777" max="11777" width="40.28515625" customWidth="1"/>
    <col min="11778" max="11778" width="15.85546875" customWidth="1"/>
    <col min="11779" max="11779" width="14.140625" customWidth="1"/>
    <col min="11780" max="11780" width="14.5703125" customWidth="1"/>
    <col min="11781" max="11781" width="13.42578125" customWidth="1"/>
    <col min="11782" max="11782" width="12.85546875" customWidth="1"/>
    <col min="11783" max="11786" width="11.42578125" customWidth="1"/>
    <col min="11787" max="11788" width="14.7109375" bestFit="1" customWidth="1"/>
    <col min="12033" max="12033" width="40.28515625" customWidth="1"/>
    <col min="12034" max="12034" width="15.85546875" customWidth="1"/>
    <col min="12035" max="12035" width="14.140625" customWidth="1"/>
    <col min="12036" max="12036" width="14.5703125" customWidth="1"/>
    <col min="12037" max="12037" width="13.42578125" customWidth="1"/>
    <col min="12038" max="12038" width="12.85546875" customWidth="1"/>
    <col min="12039" max="12042" width="11.42578125" customWidth="1"/>
    <col min="12043" max="12044" width="14.7109375" bestFit="1" customWidth="1"/>
    <col min="12289" max="12289" width="40.28515625" customWidth="1"/>
    <col min="12290" max="12290" width="15.85546875" customWidth="1"/>
    <col min="12291" max="12291" width="14.140625" customWidth="1"/>
    <col min="12292" max="12292" width="14.5703125" customWidth="1"/>
    <col min="12293" max="12293" width="13.42578125" customWidth="1"/>
    <col min="12294" max="12294" width="12.85546875" customWidth="1"/>
    <col min="12295" max="12298" width="11.42578125" customWidth="1"/>
    <col min="12299" max="12300" width="14.7109375" bestFit="1" customWidth="1"/>
    <col min="12545" max="12545" width="40.28515625" customWidth="1"/>
    <col min="12546" max="12546" width="15.85546875" customWidth="1"/>
    <col min="12547" max="12547" width="14.140625" customWidth="1"/>
    <col min="12548" max="12548" width="14.5703125" customWidth="1"/>
    <col min="12549" max="12549" width="13.42578125" customWidth="1"/>
    <col min="12550" max="12550" width="12.85546875" customWidth="1"/>
    <col min="12551" max="12554" width="11.42578125" customWidth="1"/>
    <col min="12555" max="12556" width="14.7109375" bestFit="1" customWidth="1"/>
    <col min="12801" max="12801" width="40.28515625" customWidth="1"/>
    <col min="12802" max="12802" width="15.85546875" customWidth="1"/>
    <col min="12803" max="12803" width="14.140625" customWidth="1"/>
    <col min="12804" max="12804" width="14.5703125" customWidth="1"/>
    <col min="12805" max="12805" width="13.42578125" customWidth="1"/>
    <col min="12806" max="12806" width="12.85546875" customWidth="1"/>
    <col min="12807" max="12810" width="11.42578125" customWidth="1"/>
    <col min="12811" max="12812" width="14.7109375" bestFit="1" customWidth="1"/>
    <col min="13057" max="13057" width="40.28515625" customWidth="1"/>
    <col min="13058" max="13058" width="15.85546875" customWidth="1"/>
    <col min="13059" max="13059" width="14.140625" customWidth="1"/>
    <col min="13060" max="13060" width="14.5703125" customWidth="1"/>
    <col min="13061" max="13061" width="13.42578125" customWidth="1"/>
    <col min="13062" max="13062" width="12.85546875" customWidth="1"/>
    <col min="13063" max="13066" width="11.42578125" customWidth="1"/>
    <col min="13067" max="13068" width="14.7109375" bestFit="1" customWidth="1"/>
    <col min="13313" max="13313" width="40.28515625" customWidth="1"/>
    <col min="13314" max="13314" width="15.85546875" customWidth="1"/>
    <col min="13315" max="13315" width="14.140625" customWidth="1"/>
    <col min="13316" max="13316" width="14.5703125" customWidth="1"/>
    <col min="13317" max="13317" width="13.42578125" customWidth="1"/>
    <col min="13318" max="13318" width="12.85546875" customWidth="1"/>
    <col min="13319" max="13322" width="11.42578125" customWidth="1"/>
    <col min="13323" max="13324" width="14.7109375" bestFit="1" customWidth="1"/>
    <col min="13569" max="13569" width="40.28515625" customWidth="1"/>
    <col min="13570" max="13570" width="15.85546875" customWidth="1"/>
    <col min="13571" max="13571" width="14.140625" customWidth="1"/>
    <col min="13572" max="13572" width="14.5703125" customWidth="1"/>
    <col min="13573" max="13573" width="13.42578125" customWidth="1"/>
    <col min="13574" max="13574" width="12.85546875" customWidth="1"/>
    <col min="13575" max="13578" width="11.42578125" customWidth="1"/>
    <col min="13579" max="13580" width="14.7109375" bestFit="1" customWidth="1"/>
    <col min="13825" max="13825" width="40.28515625" customWidth="1"/>
    <col min="13826" max="13826" width="15.85546875" customWidth="1"/>
    <col min="13827" max="13827" width="14.140625" customWidth="1"/>
    <col min="13828" max="13828" width="14.5703125" customWidth="1"/>
    <col min="13829" max="13829" width="13.42578125" customWidth="1"/>
    <col min="13830" max="13830" width="12.85546875" customWidth="1"/>
    <col min="13831" max="13834" width="11.42578125" customWidth="1"/>
    <col min="13835" max="13836" width="14.7109375" bestFit="1" customWidth="1"/>
    <col min="14081" max="14081" width="40.28515625" customWidth="1"/>
    <col min="14082" max="14082" width="15.85546875" customWidth="1"/>
    <col min="14083" max="14083" width="14.140625" customWidth="1"/>
    <col min="14084" max="14084" width="14.5703125" customWidth="1"/>
    <col min="14085" max="14085" width="13.42578125" customWidth="1"/>
    <col min="14086" max="14086" width="12.85546875" customWidth="1"/>
    <col min="14087" max="14090" width="11.42578125" customWidth="1"/>
    <col min="14091" max="14092" width="14.7109375" bestFit="1" customWidth="1"/>
    <col min="14337" max="14337" width="40.28515625" customWidth="1"/>
    <col min="14338" max="14338" width="15.85546875" customWidth="1"/>
    <col min="14339" max="14339" width="14.140625" customWidth="1"/>
    <col min="14340" max="14340" width="14.5703125" customWidth="1"/>
    <col min="14341" max="14341" width="13.42578125" customWidth="1"/>
    <col min="14342" max="14342" width="12.85546875" customWidth="1"/>
    <col min="14343" max="14346" width="11.42578125" customWidth="1"/>
    <col min="14347" max="14348" width="14.7109375" bestFit="1" customWidth="1"/>
    <col min="14593" max="14593" width="40.28515625" customWidth="1"/>
    <col min="14594" max="14594" width="15.85546875" customWidth="1"/>
    <col min="14595" max="14595" width="14.140625" customWidth="1"/>
    <col min="14596" max="14596" width="14.5703125" customWidth="1"/>
    <col min="14597" max="14597" width="13.42578125" customWidth="1"/>
    <col min="14598" max="14598" width="12.85546875" customWidth="1"/>
    <col min="14599" max="14602" width="11.42578125" customWidth="1"/>
    <col min="14603" max="14604" width="14.7109375" bestFit="1" customWidth="1"/>
    <col min="14849" max="14849" width="40.28515625" customWidth="1"/>
    <col min="14850" max="14850" width="15.85546875" customWidth="1"/>
    <col min="14851" max="14851" width="14.140625" customWidth="1"/>
    <col min="14852" max="14852" width="14.5703125" customWidth="1"/>
    <col min="14853" max="14853" width="13.42578125" customWidth="1"/>
    <col min="14854" max="14854" width="12.85546875" customWidth="1"/>
    <col min="14855" max="14858" width="11.42578125" customWidth="1"/>
    <col min="14859" max="14860" width="14.7109375" bestFit="1" customWidth="1"/>
    <col min="15105" max="15105" width="40.28515625" customWidth="1"/>
    <col min="15106" max="15106" width="15.85546875" customWidth="1"/>
    <col min="15107" max="15107" width="14.140625" customWidth="1"/>
    <col min="15108" max="15108" width="14.5703125" customWidth="1"/>
    <col min="15109" max="15109" width="13.42578125" customWidth="1"/>
    <col min="15110" max="15110" width="12.85546875" customWidth="1"/>
    <col min="15111" max="15114" width="11.42578125" customWidth="1"/>
    <col min="15115" max="15116" width="14.7109375" bestFit="1" customWidth="1"/>
    <col min="15361" max="15361" width="40.28515625" customWidth="1"/>
    <col min="15362" max="15362" width="15.85546875" customWidth="1"/>
    <col min="15363" max="15363" width="14.140625" customWidth="1"/>
    <col min="15364" max="15364" width="14.5703125" customWidth="1"/>
    <col min="15365" max="15365" width="13.42578125" customWidth="1"/>
    <col min="15366" max="15366" width="12.85546875" customWidth="1"/>
    <col min="15367" max="15370" width="11.42578125" customWidth="1"/>
    <col min="15371" max="15372" width="14.7109375" bestFit="1" customWidth="1"/>
    <col min="15617" max="15617" width="40.28515625" customWidth="1"/>
    <col min="15618" max="15618" width="15.85546875" customWidth="1"/>
    <col min="15619" max="15619" width="14.140625" customWidth="1"/>
    <col min="15620" max="15620" width="14.5703125" customWidth="1"/>
    <col min="15621" max="15621" width="13.42578125" customWidth="1"/>
    <col min="15622" max="15622" width="12.85546875" customWidth="1"/>
    <col min="15623" max="15626" width="11.42578125" customWidth="1"/>
    <col min="15627" max="15628" width="14.7109375" bestFit="1" customWidth="1"/>
    <col min="15873" max="15873" width="40.28515625" customWidth="1"/>
    <col min="15874" max="15874" width="15.85546875" customWidth="1"/>
    <col min="15875" max="15875" width="14.140625" customWidth="1"/>
    <col min="15876" max="15876" width="14.5703125" customWidth="1"/>
    <col min="15877" max="15877" width="13.42578125" customWidth="1"/>
    <col min="15878" max="15878" width="12.85546875" customWidth="1"/>
    <col min="15879" max="15882" width="11.42578125" customWidth="1"/>
    <col min="15883" max="15884" width="14.7109375" bestFit="1" customWidth="1"/>
    <col min="16129" max="16129" width="40.28515625" customWidth="1"/>
    <col min="16130" max="16130" width="15.85546875" customWidth="1"/>
    <col min="16131" max="16131" width="14.140625" customWidth="1"/>
    <col min="16132" max="16132" width="14.5703125" customWidth="1"/>
    <col min="16133" max="16133" width="13.42578125" customWidth="1"/>
    <col min="16134" max="16134" width="12.85546875" customWidth="1"/>
    <col min="16135" max="16138" width="11.42578125" customWidth="1"/>
    <col min="16139" max="16140" width="14.7109375" bestFit="1" customWidth="1"/>
  </cols>
  <sheetData>
    <row r="1" spans="1:12" ht="18">
      <c r="A1" s="65" t="str">
        <f>HLOOKUP(INDICE!$F$2,Nombres!$C$3:$E$853,354)</f>
        <v>Risk-weighted assets. Breakdown by business areas and main countries</v>
      </c>
      <c r="B1" s="66"/>
      <c r="C1" s="66"/>
      <c r="D1" s="67"/>
      <c r="E1" s="67"/>
      <c r="F1" s="67"/>
      <c r="G1" s="54"/>
      <c r="H1" s="54"/>
      <c r="I1" s="54"/>
    </row>
    <row r="2" spans="1:12">
      <c r="A2" s="68" t="str">
        <f>HLOOKUP(INDICE!$F$2,Nombres!$C$3:$E$853,30)</f>
        <v>(Million euros)</v>
      </c>
      <c r="B2" s="69"/>
      <c r="C2" s="69"/>
      <c r="D2" s="70"/>
      <c r="E2" s="70"/>
      <c r="F2" s="70"/>
      <c r="G2" s="54"/>
      <c r="H2" s="54"/>
      <c r="I2" s="54"/>
    </row>
    <row r="3" spans="1:12">
      <c r="A3" s="71"/>
      <c r="B3" s="69"/>
      <c r="C3" s="69"/>
      <c r="D3" s="72"/>
      <c r="E3" s="72"/>
      <c r="F3" s="72"/>
      <c r="G3" s="54"/>
      <c r="H3" s="326"/>
      <c r="I3" s="54"/>
    </row>
    <row r="4" spans="1:12" ht="15.75" customHeight="1">
      <c r="A4" s="73"/>
      <c r="B4" s="320" t="str">
        <f>HLOOKUP(INDICE!$F$2,Nombres!$C$3:$E$853,356)</f>
        <v>CRD IV fully-loaded</v>
      </c>
      <c r="C4" s="320"/>
      <c r="D4" s="320"/>
      <c r="E4" s="320"/>
      <c r="F4" s="72"/>
      <c r="G4" s="54"/>
      <c r="H4" s="326"/>
      <c r="I4" s="54"/>
    </row>
    <row r="5" spans="1:12" ht="15.75">
      <c r="A5" s="73"/>
      <c r="B5" s="74">
        <v>43100</v>
      </c>
      <c r="C5" s="74">
        <v>43190</v>
      </c>
      <c r="D5" s="74">
        <v>43281</v>
      </c>
      <c r="E5" s="74">
        <v>43373</v>
      </c>
      <c r="F5" s="75"/>
      <c r="G5" s="54"/>
      <c r="H5" s="54"/>
      <c r="I5" s="54"/>
      <c r="K5" s="76"/>
    </row>
    <row r="6" spans="1:12">
      <c r="A6" s="77" t="str">
        <f>HLOOKUP(INDICE!$F$2,Nombres!$C$3:$E$853,164)</f>
        <v>BBVA Group</v>
      </c>
      <c r="B6" s="78">
        <v>361685.62993909098</v>
      </c>
      <c r="C6" s="78">
        <v>356847.00100007997</v>
      </c>
      <c r="D6" s="78">
        <v>357204.8949123901</v>
      </c>
      <c r="E6" s="78">
        <v>343271.21100002999</v>
      </c>
      <c r="F6" s="78"/>
      <c r="G6" s="54"/>
      <c r="H6" s="54"/>
      <c r="I6" s="54"/>
      <c r="K6" s="79"/>
      <c r="L6" s="80"/>
    </row>
    <row r="7" spans="1:12">
      <c r="A7" s="81" t="str">
        <f>HLOOKUP(INDICE!$F$2,Nombres!$C$3:$E$853,7)</f>
        <v>Banking activity in Spain</v>
      </c>
      <c r="B7" s="82">
        <v>108140.6586945</v>
      </c>
      <c r="C7" s="82">
        <v>103120.75188952</v>
      </c>
      <c r="D7" s="82">
        <v>102015.14645927999</v>
      </c>
      <c r="E7" s="82">
        <v>102020.31183757998</v>
      </c>
      <c r="F7" s="82"/>
      <c r="G7" s="54"/>
      <c r="H7" s="54"/>
      <c r="I7" s="54"/>
      <c r="K7" s="79"/>
      <c r="L7" s="80"/>
    </row>
    <row r="8" spans="1:12">
      <c r="A8" s="81" t="str">
        <f>HLOOKUP(INDICE!$F$2,Nombres!$C$3:$E$853,279)</f>
        <v>Non Core Real Estate</v>
      </c>
      <c r="B8" s="82">
        <v>9691.55223793</v>
      </c>
      <c r="C8" s="82">
        <v>9133.7328366800011</v>
      </c>
      <c r="D8" s="82">
        <v>6839.6017975100003</v>
      </c>
      <c r="E8" s="82">
        <v>7475.2148248000003</v>
      </c>
      <c r="F8" s="82"/>
      <c r="K8" s="79"/>
      <c r="L8" s="80"/>
    </row>
    <row r="9" spans="1:12">
      <c r="A9" s="81" t="str">
        <f>HLOOKUP(INDICE!$F$2,Nombres!$C$3:$E$853,20)</f>
        <v>The United States</v>
      </c>
      <c r="B9" s="82">
        <v>58688.146893649995</v>
      </c>
      <c r="C9" s="82">
        <v>57265.60901434</v>
      </c>
      <c r="D9" s="82">
        <v>61453.807238449997</v>
      </c>
      <c r="E9" s="82">
        <v>62727.846215339996</v>
      </c>
      <c r="F9" s="82"/>
      <c r="K9" s="79"/>
      <c r="L9" s="80"/>
    </row>
    <row r="10" spans="1:12">
      <c r="A10" s="81" t="str">
        <f>HLOOKUP(INDICE!$F$2,Nombres!$C$3:$E$853,9)</f>
        <v>Mexico</v>
      </c>
      <c r="B10" s="82">
        <v>44941.381420360005</v>
      </c>
      <c r="C10" s="82">
        <v>47715.439257269987</v>
      </c>
      <c r="D10" s="82">
        <v>50648.28484634999</v>
      </c>
      <c r="E10" s="82">
        <v>54391.151450589998</v>
      </c>
      <c r="F10" s="82"/>
      <c r="K10" s="79"/>
      <c r="L10" s="80"/>
    </row>
    <row r="11" spans="1:12">
      <c r="A11" s="81" t="str">
        <f>HLOOKUP(INDICE!$F$2,Nombres!$C$3:$E$853,295)</f>
        <v xml:space="preserve">Turkey </v>
      </c>
      <c r="B11" s="82">
        <v>62767.627286010007</v>
      </c>
      <c r="C11" s="82">
        <v>60903.657198999994</v>
      </c>
      <c r="D11" s="82">
        <v>58770.428999999996</v>
      </c>
      <c r="E11" s="82">
        <v>52822.006999999991</v>
      </c>
      <c r="F11" s="82"/>
      <c r="K11" s="79"/>
      <c r="L11" s="80"/>
    </row>
    <row r="12" spans="1:12">
      <c r="A12" s="81" t="str">
        <f>HLOOKUP(INDICE!$F$2,Nombres!$C$3:$E$853,12)</f>
        <v>South America</v>
      </c>
      <c r="B12" s="82">
        <v>55974.940443529995</v>
      </c>
      <c r="C12" s="82">
        <v>55731.646476559996</v>
      </c>
      <c r="D12" s="82">
        <v>55154.711805399995</v>
      </c>
      <c r="E12" s="82">
        <v>41544.255960859991</v>
      </c>
      <c r="F12" s="82"/>
      <c r="K12" s="79"/>
      <c r="L12" s="80"/>
    </row>
    <row r="13" spans="1:12">
      <c r="A13" s="83" t="str">
        <f>HLOOKUP(INDICE!$F$2,Nombres!$C$3:$E$853,15)</f>
        <v>Argentina</v>
      </c>
      <c r="B13" s="82">
        <v>9364.0942901399994</v>
      </c>
      <c r="C13" s="82">
        <v>8681.9452949999995</v>
      </c>
      <c r="D13" s="82">
        <v>7914.3030000000008</v>
      </c>
      <c r="E13" s="82">
        <v>7020.5289999999995</v>
      </c>
      <c r="F13" s="82"/>
      <c r="K13" s="79"/>
      <c r="L13" s="80"/>
    </row>
    <row r="14" spans="1:12">
      <c r="A14" s="83" t="str">
        <f>HLOOKUP(INDICE!$F$2,Nombres!$C$3:$E$853,16)</f>
        <v>Chile</v>
      </c>
      <c r="B14" s="82">
        <v>14398.30190975</v>
      </c>
      <c r="C14" s="82">
        <v>14681.043694649999</v>
      </c>
      <c r="D14" s="82">
        <v>14818.880717289998</v>
      </c>
      <c r="E14" s="82">
        <v>2118.9981815300002</v>
      </c>
      <c r="F14" s="82"/>
      <c r="K14" s="79"/>
      <c r="L14" s="80"/>
    </row>
    <row r="15" spans="1:12">
      <c r="A15" s="83" t="str">
        <f>HLOOKUP(INDICE!$F$2,Nombres!$C$3:$E$853,17)</f>
        <v>Colombia</v>
      </c>
      <c r="B15" s="82">
        <v>12299.334113539999</v>
      </c>
      <c r="C15" s="82">
        <v>12973.685412490002</v>
      </c>
      <c r="D15" s="82">
        <v>12982.576092740004</v>
      </c>
      <c r="E15" s="82">
        <v>13239.864003490002</v>
      </c>
      <c r="F15" s="82"/>
      <c r="K15" s="79"/>
      <c r="L15" s="80"/>
    </row>
    <row r="16" spans="1:12">
      <c r="A16" s="83" t="str">
        <f>HLOOKUP(INDICE!$F$2,Nombres!$C$3:$E$853,18)</f>
        <v>Peru</v>
      </c>
      <c r="B16" s="82">
        <v>14879.133567040004</v>
      </c>
      <c r="C16" s="82">
        <v>14617.847372669999</v>
      </c>
      <c r="D16" s="82">
        <v>15367.88322663</v>
      </c>
      <c r="E16" s="82">
        <v>15221.643007089997</v>
      </c>
      <c r="F16" s="82"/>
      <c r="K16" s="79"/>
      <c r="L16" s="80"/>
    </row>
    <row r="17" spans="1:12">
      <c r="A17" s="83" t="str">
        <f>HLOOKUP(INDICE!$F$2,Nombres!$C$3:$E$853,355)</f>
        <v>Rest of South America</v>
      </c>
      <c r="B17" s="82">
        <v>5034.0765630599999</v>
      </c>
      <c r="C17" s="82">
        <v>4777.12470175</v>
      </c>
      <c r="D17" s="82">
        <v>4071.0687687399995</v>
      </c>
      <c r="E17" s="82">
        <v>3943.2217687499888</v>
      </c>
      <c r="F17" s="82"/>
      <c r="K17" s="79"/>
      <c r="L17" s="80"/>
    </row>
    <row r="18" spans="1:12">
      <c r="A18" s="81" t="str">
        <f>HLOOKUP(INDICE!$F$2,Nombres!$C$3:$E$853,183)</f>
        <v>Rest of Eurasia</v>
      </c>
      <c r="B18" s="82">
        <v>15149.639847610006</v>
      </c>
      <c r="C18" s="82">
        <v>15052.297731890001</v>
      </c>
      <c r="D18" s="82">
        <v>14695.647725410003</v>
      </c>
      <c r="E18" s="82">
        <v>13888.802668029997</v>
      </c>
      <c r="F18" s="82"/>
      <c r="K18" s="79"/>
      <c r="L18" s="80"/>
    </row>
    <row r="19" spans="1:12">
      <c r="A19" s="81" t="str">
        <f>HLOOKUP(INDICE!$F$2,Nombres!$C$3:$E$853,25)</f>
        <v xml:space="preserve">Corporate Center </v>
      </c>
      <c r="B19" s="82">
        <v>6331.6831155010022</v>
      </c>
      <c r="C19" s="82">
        <v>7923.8665948200032</v>
      </c>
      <c r="D19" s="82">
        <v>7627.2660399900342</v>
      </c>
      <c r="E19" s="82">
        <v>8401.6210428300474</v>
      </c>
      <c r="F19" s="82"/>
      <c r="K19" s="79"/>
      <c r="L19" s="80"/>
    </row>
    <row r="20" spans="1:12">
      <c r="A20" s="84"/>
      <c r="B20" s="84"/>
      <c r="C20" s="84"/>
      <c r="D20" s="72"/>
      <c r="E20" s="72"/>
      <c r="F20" s="72"/>
    </row>
    <row r="21" spans="1:12">
      <c r="A21" s="72"/>
      <c r="B21" s="72"/>
      <c r="C21" s="72"/>
      <c r="D21" s="72"/>
      <c r="E21" s="72"/>
      <c r="F21" s="72"/>
    </row>
    <row r="22" spans="1:12">
      <c r="A22" s="85"/>
      <c r="B22" s="85"/>
      <c r="C22" s="85"/>
      <c r="D22" s="85"/>
      <c r="E22" s="85"/>
      <c r="F22" s="85"/>
    </row>
    <row r="23" spans="1:12">
      <c r="F23" s="86"/>
    </row>
  </sheetData>
  <mergeCells count="2">
    <mergeCell ref="H3:H4"/>
    <mergeCell ref="B4:E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zoomScale="85" zoomScaleNormal="85" workbookViewId="0"/>
  </sheetViews>
  <sheetFormatPr baseColWidth="10" defaultRowHeight="15"/>
  <cols>
    <col min="1" max="1" width="35.7109375" style="54" customWidth="1"/>
    <col min="2" max="2" width="12.140625" style="54" customWidth="1"/>
    <col min="3" max="4" width="10.85546875" style="54" customWidth="1"/>
    <col min="5" max="5" width="10.42578125" style="54" customWidth="1"/>
    <col min="6" max="6" width="10.5703125" style="54" customWidth="1"/>
    <col min="7" max="7" width="10.85546875" style="54" customWidth="1"/>
    <col min="8" max="8" width="10.42578125" style="54" customWidth="1"/>
    <col min="9" max="255" width="11.42578125" style="54"/>
    <col min="256" max="256" width="35.7109375" style="54" customWidth="1"/>
    <col min="257" max="257" width="12.140625" style="54" customWidth="1"/>
    <col min="258" max="259" width="10.85546875" style="54" customWidth="1"/>
    <col min="260" max="260" width="10.42578125" style="54" customWidth="1"/>
    <col min="261" max="261" width="10.5703125" style="54" customWidth="1"/>
    <col min="262" max="262" width="10.85546875" style="54" customWidth="1"/>
    <col min="263" max="264" width="10.42578125" style="54" customWidth="1"/>
    <col min="265" max="511" width="11.42578125" style="54"/>
    <col min="512" max="512" width="35.7109375" style="54" customWidth="1"/>
    <col min="513" max="513" width="12.140625" style="54" customWidth="1"/>
    <col min="514" max="515" width="10.85546875" style="54" customWidth="1"/>
    <col min="516" max="516" width="10.42578125" style="54" customWidth="1"/>
    <col min="517" max="517" width="10.5703125" style="54" customWidth="1"/>
    <col min="518" max="518" width="10.85546875" style="54" customWidth="1"/>
    <col min="519" max="520" width="10.42578125" style="54" customWidth="1"/>
    <col min="521" max="767" width="11.42578125" style="54"/>
    <col min="768" max="768" width="35.7109375" style="54" customWidth="1"/>
    <col min="769" max="769" width="12.140625" style="54" customWidth="1"/>
    <col min="770" max="771" width="10.85546875" style="54" customWidth="1"/>
    <col min="772" max="772" width="10.42578125" style="54" customWidth="1"/>
    <col min="773" max="773" width="10.5703125" style="54" customWidth="1"/>
    <col min="774" max="774" width="10.85546875" style="54" customWidth="1"/>
    <col min="775" max="776" width="10.42578125" style="54" customWidth="1"/>
    <col min="777" max="1023" width="11.42578125" style="54"/>
    <col min="1024" max="1024" width="35.7109375" style="54" customWidth="1"/>
    <col min="1025" max="1025" width="12.140625" style="54" customWidth="1"/>
    <col min="1026" max="1027" width="10.85546875" style="54" customWidth="1"/>
    <col min="1028" max="1028" width="10.42578125" style="54" customWidth="1"/>
    <col min="1029" max="1029" width="10.5703125" style="54" customWidth="1"/>
    <col min="1030" max="1030" width="10.85546875" style="54" customWidth="1"/>
    <col min="1031" max="1032" width="10.42578125" style="54" customWidth="1"/>
    <col min="1033" max="1279" width="11.42578125" style="54"/>
    <col min="1280" max="1280" width="35.7109375" style="54" customWidth="1"/>
    <col min="1281" max="1281" width="12.140625" style="54" customWidth="1"/>
    <col min="1282" max="1283" width="10.85546875" style="54" customWidth="1"/>
    <col min="1284" max="1284" width="10.42578125" style="54" customWidth="1"/>
    <col min="1285" max="1285" width="10.5703125" style="54" customWidth="1"/>
    <col min="1286" max="1286" width="10.85546875" style="54" customWidth="1"/>
    <col min="1287" max="1288" width="10.42578125" style="54" customWidth="1"/>
    <col min="1289" max="1535" width="11.42578125" style="54"/>
    <col min="1536" max="1536" width="35.7109375" style="54" customWidth="1"/>
    <col min="1537" max="1537" width="12.140625" style="54" customWidth="1"/>
    <col min="1538" max="1539" width="10.85546875" style="54" customWidth="1"/>
    <col min="1540" max="1540" width="10.42578125" style="54" customWidth="1"/>
    <col min="1541" max="1541" width="10.5703125" style="54" customWidth="1"/>
    <col min="1542" max="1542" width="10.85546875" style="54" customWidth="1"/>
    <col min="1543" max="1544" width="10.42578125" style="54" customWidth="1"/>
    <col min="1545" max="1791" width="11.42578125" style="54"/>
    <col min="1792" max="1792" width="35.7109375" style="54" customWidth="1"/>
    <col min="1793" max="1793" width="12.140625" style="54" customWidth="1"/>
    <col min="1794" max="1795" width="10.85546875" style="54" customWidth="1"/>
    <col min="1796" max="1796" width="10.42578125" style="54" customWidth="1"/>
    <col min="1797" max="1797" width="10.5703125" style="54" customWidth="1"/>
    <col min="1798" max="1798" width="10.85546875" style="54" customWidth="1"/>
    <col min="1799" max="1800" width="10.42578125" style="54" customWidth="1"/>
    <col min="1801" max="2047" width="11.42578125" style="54"/>
    <col min="2048" max="2048" width="35.7109375" style="54" customWidth="1"/>
    <col min="2049" max="2049" width="12.140625" style="54" customWidth="1"/>
    <col min="2050" max="2051" width="10.85546875" style="54" customWidth="1"/>
    <col min="2052" max="2052" width="10.42578125" style="54" customWidth="1"/>
    <col min="2053" max="2053" width="10.5703125" style="54" customWidth="1"/>
    <col min="2054" max="2054" width="10.85546875" style="54" customWidth="1"/>
    <col min="2055" max="2056" width="10.42578125" style="54" customWidth="1"/>
    <col min="2057" max="2303" width="11.42578125" style="54"/>
    <col min="2304" max="2304" width="35.7109375" style="54" customWidth="1"/>
    <col min="2305" max="2305" width="12.140625" style="54" customWidth="1"/>
    <col min="2306" max="2307" width="10.85546875" style="54" customWidth="1"/>
    <col min="2308" max="2308" width="10.42578125" style="54" customWidth="1"/>
    <col min="2309" max="2309" width="10.5703125" style="54" customWidth="1"/>
    <col min="2310" max="2310" width="10.85546875" style="54" customWidth="1"/>
    <col min="2311" max="2312" width="10.42578125" style="54" customWidth="1"/>
    <col min="2313" max="2559" width="11.42578125" style="54"/>
    <col min="2560" max="2560" width="35.7109375" style="54" customWidth="1"/>
    <col min="2561" max="2561" width="12.140625" style="54" customWidth="1"/>
    <col min="2562" max="2563" width="10.85546875" style="54" customWidth="1"/>
    <col min="2564" max="2564" width="10.42578125" style="54" customWidth="1"/>
    <col min="2565" max="2565" width="10.5703125" style="54" customWidth="1"/>
    <col min="2566" max="2566" width="10.85546875" style="54" customWidth="1"/>
    <col min="2567" max="2568" width="10.42578125" style="54" customWidth="1"/>
    <col min="2569" max="2815" width="11.42578125" style="54"/>
    <col min="2816" max="2816" width="35.7109375" style="54" customWidth="1"/>
    <col min="2817" max="2817" width="12.140625" style="54" customWidth="1"/>
    <col min="2818" max="2819" width="10.85546875" style="54" customWidth="1"/>
    <col min="2820" max="2820" width="10.42578125" style="54" customWidth="1"/>
    <col min="2821" max="2821" width="10.5703125" style="54" customWidth="1"/>
    <col min="2822" max="2822" width="10.85546875" style="54" customWidth="1"/>
    <col min="2823" max="2824" width="10.42578125" style="54" customWidth="1"/>
    <col min="2825" max="3071" width="11.42578125" style="54"/>
    <col min="3072" max="3072" width="35.7109375" style="54" customWidth="1"/>
    <col min="3073" max="3073" width="12.140625" style="54" customWidth="1"/>
    <col min="3074" max="3075" width="10.85546875" style="54" customWidth="1"/>
    <col min="3076" max="3076" width="10.42578125" style="54" customWidth="1"/>
    <col min="3077" max="3077" width="10.5703125" style="54" customWidth="1"/>
    <col min="3078" max="3078" width="10.85546875" style="54" customWidth="1"/>
    <col min="3079" max="3080" width="10.42578125" style="54" customWidth="1"/>
    <col min="3081" max="3327" width="11.42578125" style="54"/>
    <col min="3328" max="3328" width="35.7109375" style="54" customWidth="1"/>
    <col min="3329" max="3329" width="12.140625" style="54" customWidth="1"/>
    <col min="3330" max="3331" width="10.85546875" style="54" customWidth="1"/>
    <col min="3332" max="3332" width="10.42578125" style="54" customWidth="1"/>
    <col min="3333" max="3333" width="10.5703125" style="54" customWidth="1"/>
    <col min="3334" max="3334" width="10.85546875" style="54" customWidth="1"/>
    <col min="3335" max="3336" width="10.42578125" style="54" customWidth="1"/>
    <col min="3337" max="3583" width="11.42578125" style="54"/>
    <col min="3584" max="3584" width="35.7109375" style="54" customWidth="1"/>
    <col min="3585" max="3585" width="12.140625" style="54" customWidth="1"/>
    <col min="3586" max="3587" width="10.85546875" style="54" customWidth="1"/>
    <col min="3588" max="3588" width="10.42578125" style="54" customWidth="1"/>
    <col min="3589" max="3589" width="10.5703125" style="54" customWidth="1"/>
    <col min="3590" max="3590" width="10.85546875" style="54" customWidth="1"/>
    <col min="3591" max="3592" width="10.42578125" style="54" customWidth="1"/>
    <col min="3593" max="3839" width="11.42578125" style="54"/>
    <col min="3840" max="3840" width="35.7109375" style="54" customWidth="1"/>
    <col min="3841" max="3841" width="12.140625" style="54" customWidth="1"/>
    <col min="3842" max="3843" width="10.85546875" style="54" customWidth="1"/>
    <col min="3844" max="3844" width="10.42578125" style="54" customWidth="1"/>
    <col min="3845" max="3845" width="10.5703125" style="54" customWidth="1"/>
    <col min="3846" max="3846" width="10.85546875" style="54" customWidth="1"/>
    <col min="3847" max="3848" width="10.42578125" style="54" customWidth="1"/>
    <col min="3849" max="4095" width="11.42578125" style="54"/>
    <col min="4096" max="4096" width="35.7109375" style="54" customWidth="1"/>
    <col min="4097" max="4097" width="12.140625" style="54" customWidth="1"/>
    <col min="4098" max="4099" width="10.85546875" style="54" customWidth="1"/>
    <col min="4100" max="4100" width="10.42578125" style="54" customWidth="1"/>
    <col min="4101" max="4101" width="10.5703125" style="54" customWidth="1"/>
    <col min="4102" max="4102" width="10.85546875" style="54" customWidth="1"/>
    <col min="4103" max="4104" width="10.42578125" style="54" customWidth="1"/>
    <col min="4105" max="4351" width="11.42578125" style="54"/>
    <col min="4352" max="4352" width="35.7109375" style="54" customWidth="1"/>
    <col min="4353" max="4353" width="12.140625" style="54" customWidth="1"/>
    <col min="4354" max="4355" width="10.85546875" style="54" customWidth="1"/>
    <col min="4356" max="4356" width="10.42578125" style="54" customWidth="1"/>
    <col min="4357" max="4357" width="10.5703125" style="54" customWidth="1"/>
    <col min="4358" max="4358" width="10.85546875" style="54" customWidth="1"/>
    <col min="4359" max="4360" width="10.42578125" style="54" customWidth="1"/>
    <col min="4361" max="4607" width="11.42578125" style="54"/>
    <col min="4608" max="4608" width="35.7109375" style="54" customWidth="1"/>
    <col min="4609" max="4609" width="12.140625" style="54" customWidth="1"/>
    <col min="4610" max="4611" width="10.85546875" style="54" customWidth="1"/>
    <col min="4612" max="4612" width="10.42578125" style="54" customWidth="1"/>
    <col min="4613" max="4613" width="10.5703125" style="54" customWidth="1"/>
    <col min="4614" max="4614" width="10.85546875" style="54" customWidth="1"/>
    <col min="4615" max="4616" width="10.42578125" style="54" customWidth="1"/>
    <col min="4617" max="4863" width="11.42578125" style="54"/>
    <col min="4864" max="4864" width="35.7109375" style="54" customWidth="1"/>
    <col min="4865" max="4865" width="12.140625" style="54" customWidth="1"/>
    <col min="4866" max="4867" width="10.85546875" style="54" customWidth="1"/>
    <col min="4868" max="4868" width="10.42578125" style="54" customWidth="1"/>
    <col min="4869" max="4869" width="10.5703125" style="54" customWidth="1"/>
    <col min="4870" max="4870" width="10.85546875" style="54" customWidth="1"/>
    <col min="4871" max="4872" width="10.42578125" style="54" customWidth="1"/>
    <col min="4873" max="5119" width="11.42578125" style="54"/>
    <col min="5120" max="5120" width="35.7109375" style="54" customWidth="1"/>
    <col min="5121" max="5121" width="12.140625" style="54" customWidth="1"/>
    <col min="5122" max="5123" width="10.85546875" style="54" customWidth="1"/>
    <col min="5124" max="5124" width="10.42578125" style="54" customWidth="1"/>
    <col min="5125" max="5125" width="10.5703125" style="54" customWidth="1"/>
    <col min="5126" max="5126" width="10.85546875" style="54" customWidth="1"/>
    <col min="5127" max="5128" width="10.42578125" style="54" customWidth="1"/>
    <col min="5129" max="5375" width="11.42578125" style="54"/>
    <col min="5376" max="5376" width="35.7109375" style="54" customWidth="1"/>
    <col min="5377" max="5377" width="12.140625" style="54" customWidth="1"/>
    <col min="5378" max="5379" width="10.85546875" style="54" customWidth="1"/>
    <col min="5380" max="5380" width="10.42578125" style="54" customWidth="1"/>
    <col min="5381" max="5381" width="10.5703125" style="54" customWidth="1"/>
    <col min="5382" max="5382" width="10.85546875" style="54" customWidth="1"/>
    <col min="5383" max="5384" width="10.42578125" style="54" customWidth="1"/>
    <col min="5385" max="5631" width="11.42578125" style="54"/>
    <col min="5632" max="5632" width="35.7109375" style="54" customWidth="1"/>
    <col min="5633" max="5633" width="12.140625" style="54" customWidth="1"/>
    <col min="5634" max="5635" width="10.85546875" style="54" customWidth="1"/>
    <col min="5636" max="5636" width="10.42578125" style="54" customWidth="1"/>
    <col min="5637" max="5637" width="10.5703125" style="54" customWidth="1"/>
    <col min="5638" max="5638" width="10.85546875" style="54" customWidth="1"/>
    <col min="5639" max="5640" width="10.42578125" style="54" customWidth="1"/>
    <col min="5641" max="5887" width="11.42578125" style="54"/>
    <col min="5888" max="5888" width="35.7109375" style="54" customWidth="1"/>
    <col min="5889" max="5889" width="12.140625" style="54" customWidth="1"/>
    <col min="5890" max="5891" width="10.85546875" style="54" customWidth="1"/>
    <col min="5892" max="5892" width="10.42578125" style="54" customWidth="1"/>
    <col min="5893" max="5893" width="10.5703125" style="54" customWidth="1"/>
    <col min="5894" max="5894" width="10.85546875" style="54" customWidth="1"/>
    <col min="5895" max="5896" width="10.42578125" style="54" customWidth="1"/>
    <col min="5897" max="6143" width="11.42578125" style="54"/>
    <col min="6144" max="6144" width="35.7109375" style="54" customWidth="1"/>
    <col min="6145" max="6145" width="12.140625" style="54" customWidth="1"/>
    <col min="6146" max="6147" width="10.85546875" style="54" customWidth="1"/>
    <col min="6148" max="6148" width="10.42578125" style="54" customWidth="1"/>
    <col min="6149" max="6149" width="10.5703125" style="54" customWidth="1"/>
    <col min="6150" max="6150" width="10.85546875" style="54" customWidth="1"/>
    <col min="6151" max="6152" width="10.42578125" style="54" customWidth="1"/>
    <col min="6153" max="6399" width="11.42578125" style="54"/>
    <col min="6400" max="6400" width="35.7109375" style="54" customWidth="1"/>
    <col min="6401" max="6401" width="12.140625" style="54" customWidth="1"/>
    <col min="6402" max="6403" width="10.85546875" style="54" customWidth="1"/>
    <col min="6404" max="6404" width="10.42578125" style="54" customWidth="1"/>
    <col min="6405" max="6405" width="10.5703125" style="54" customWidth="1"/>
    <col min="6406" max="6406" width="10.85546875" style="54" customWidth="1"/>
    <col min="6407" max="6408" width="10.42578125" style="54" customWidth="1"/>
    <col min="6409" max="6655" width="11.42578125" style="54"/>
    <col min="6656" max="6656" width="35.7109375" style="54" customWidth="1"/>
    <col min="6657" max="6657" width="12.140625" style="54" customWidth="1"/>
    <col min="6658" max="6659" width="10.85546875" style="54" customWidth="1"/>
    <col min="6660" max="6660" width="10.42578125" style="54" customWidth="1"/>
    <col min="6661" max="6661" width="10.5703125" style="54" customWidth="1"/>
    <col min="6662" max="6662" width="10.85546875" style="54" customWidth="1"/>
    <col min="6663" max="6664" width="10.42578125" style="54" customWidth="1"/>
    <col min="6665" max="6911" width="11.42578125" style="54"/>
    <col min="6912" max="6912" width="35.7109375" style="54" customWidth="1"/>
    <col min="6913" max="6913" width="12.140625" style="54" customWidth="1"/>
    <col min="6914" max="6915" width="10.85546875" style="54" customWidth="1"/>
    <col min="6916" max="6916" width="10.42578125" style="54" customWidth="1"/>
    <col min="6917" max="6917" width="10.5703125" style="54" customWidth="1"/>
    <col min="6918" max="6918" width="10.85546875" style="54" customWidth="1"/>
    <col min="6919" max="6920" width="10.42578125" style="54" customWidth="1"/>
    <col min="6921" max="7167" width="11.42578125" style="54"/>
    <col min="7168" max="7168" width="35.7109375" style="54" customWidth="1"/>
    <col min="7169" max="7169" width="12.140625" style="54" customWidth="1"/>
    <col min="7170" max="7171" width="10.85546875" style="54" customWidth="1"/>
    <col min="7172" max="7172" width="10.42578125" style="54" customWidth="1"/>
    <col min="7173" max="7173" width="10.5703125" style="54" customWidth="1"/>
    <col min="7174" max="7174" width="10.85546875" style="54" customWidth="1"/>
    <col min="7175" max="7176" width="10.42578125" style="54" customWidth="1"/>
    <col min="7177" max="7423" width="11.42578125" style="54"/>
    <col min="7424" max="7424" width="35.7109375" style="54" customWidth="1"/>
    <col min="7425" max="7425" width="12.140625" style="54" customWidth="1"/>
    <col min="7426" max="7427" width="10.85546875" style="54" customWidth="1"/>
    <col min="7428" max="7428" width="10.42578125" style="54" customWidth="1"/>
    <col min="7429" max="7429" width="10.5703125" style="54" customWidth="1"/>
    <col min="7430" max="7430" width="10.85546875" style="54" customWidth="1"/>
    <col min="7431" max="7432" width="10.42578125" style="54" customWidth="1"/>
    <col min="7433" max="7679" width="11.42578125" style="54"/>
    <col min="7680" max="7680" width="35.7109375" style="54" customWidth="1"/>
    <col min="7681" max="7681" width="12.140625" style="54" customWidth="1"/>
    <col min="7682" max="7683" width="10.85546875" style="54" customWidth="1"/>
    <col min="7684" max="7684" width="10.42578125" style="54" customWidth="1"/>
    <col min="7685" max="7685" width="10.5703125" style="54" customWidth="1"/>
    <col min="7686" max="7686" width="10.85546875" style="54" customWidth="1"/>
    <col min="7687" max="7688" width="10.42578125" style="54" customWidth="1"/>
    <col min="7689" max="7935" width="11.42578125" style="54"/>
    <col min="7936" max="7936" width="35.7109375" style="54" customWidth="1"/>
    <col min="7937" max="7937" width="12.140625" style="54" customWidth="1"/>
    <col min="7938" max="7939" width="10.85546875" style="54" customWidth="1"/>
    <col min="7940" max="7940" width="10.42578125" style="54" customWidth="1"/>
    <col min="7941" max="7941" width="10.5703125" style="54" customWidth="1"/>
    <col min="7942" max="7942" width="10.85546875" style="54" customWidth="1"/>
    <col min="7943" max="7944" width="10.42578125" style="54" customWidth="1"/>
    <col min="7945" max="8191" width="11.42578125" style="54"/>
    <col min="8192" max="8192" width="35.7109375" style="54" customWidth="1"/>
    <col min="8193" max="8193" width="12.140625" style="54" customWidth="1"/>
    <col min="8194" max="8195" width="10.85546875" style="54" customWidth="1"/>
    <col min="8196" max="8196" width="10.42578125" style="54" customWidth="1"/>
    <col min="8197" max="8197" width="10.5703125" style="54" customWidth="1"/>
    <col min="8198" max="8198" width="10.85546875" style="54" customWidth="1"/>
    <col min="8199" max="8200" width="10.42578125" style="54" customWidth="1"/>
    <col min="8201" max="8447" width="11.42578125" style="54"/>
    <col min="8448" max="8448" width="35.7109375" style="54" customWidth="1"/>
    <col min="8449" max="8449" width="12.140625" style="54" customWidth="1"/>
    <col min="8450" max="8451" width="10.85546875" style="54" customWidth="1"/>
    <col min="8452" max="8452" width="10.42578125" style="54" customWidth="1"/>
    <col min="8453" max="8453" width="10.5703125" style="54" customWidth="1"/>
    <col min="8454" max="8454" width="10.85546875" style="54" customWidth="1"/>
    <col min="8455" max="8456" width="10.42578125" style="54" customWidth="1"/>
    <col min="8457" max="8703" width="11.42578125" style="54"/>
    <col min="8704" max="8704" width="35.7109375" style="54" customWidth="1"/>
    <col min="8705" max="8705" width="12.140625" style="54" customWidth="1"/>
    <col min="8706" max="8707" width="10.85546875" style="54" customWidth="1"/>
    <col min="8708" max="8708" width="10.42578125" style="54" customWidth="1"/>
    <col min="8709" max="8709" width="10.5703125" style="54" customWidth="1"/>
    <col min="8710" max="8710" width="10.85546875" style="54" customWidth="1"/>
    <col min="8711" max="8712" width="10.42578125" style="54" customWidth="1"/>
    <col min="8713" max="8959" width="11.42578125" style="54"/>
    <col min="8960" max="8960" width="35.7109375" style="54" customWidth="1"/>
    <col min="8961" max="8961" width="12.140625" style="54" customWidth="1"/>
    <col min="8962" max="8963" width="10.85546875" style="54" customWidth="1"/>
    <col min="8964" max="8964" width="10.42578125" style="54" customWidth="1"/>
    <col min="8965" max="8965" width="10.5703125" style="54" customWidth="1"/>
    <col min="8966" max="8966" width="10.85546875" style="54" customWidth="1"/>
    <col min="8967" max="8968" width="10.42578125" style="54" customWidth="1"/>
    <col min="8969" max="9215" width="11.42578125" style="54"/>
    <col min="9216" max="9216" width="35.7109375" style="54" customWidth="1"/>
    <col min="9217" max="9217" width="12.140625" style="54" customWidth="1"/>
    <col min="9218" max="9219" width="10.85546875" style="54" customWidth="1"/>
    <col min="9220" max="9220" width="10.42578125" style="54" customWidth="1"/>
    <col min="9221" max="9221" width="10.5703125" style="54" customWidth="1"/>
    <col min="9222" max="9222" width="10.85546875" style="54" customWidth="1"/>
    <col min="9223" max="9224" width="10.42578125" style="54" customWidth="1"/>
    <col min="9225" max="9471" width="11.42578125" style="54"/>
    <col min="9472" max="9472" width="35.7109375" style="54" customWidth="1"/>
    <col min="9473" max="9473" width="12.140625" style="54" customWidth="1"/>
    <col min="9474" max="9475" width="10.85546875" style="54" customWidth="1"/>
    <col min="9476" max="9476" width="10.42578125" style="54" customWidth="1"/>
    <col min="9477" max="9477" width="10.5703125" style="54" customWidth="1"/>
    <col min="9478" max="9478" width="10.85546875" style="54" customWidth="1"/>
    <col min="9479" max="9480" width="10.42578125" style="54" customWidth="1"/>
    <col min="9481" max="9727" width="11.42578125" style="54"/>
    <col min="9728" max="9728" width="35.7109375" style="54" customWidth="1"/>
    <col min="9729" max="9729" width="12.140625" style="54" customWidth="1"/>
    <col min="9730" max="9731" width="10.85546875" style="54" customWidth="1"/>
    <col min="9732" max="9732" width="10.42578125" style="54" customWidth="1"/>
    <col min="9733" max="9733" width="10.5703125" style="54" customWidth="1"/>
    <col min="9734" max="9734" width="10.85546875" style="54" customWidth="1"/>
    <col min="9735" max="9736" width="10.42578125" style="54" customWidth="1"/>
    <col min="9737" max="9983" width="11.42578125" style="54"/>
    <col min="9984" max="9984" width="35.7109375" style="54" customWidth="1"/>
    <col min="9985" max="9985" width="12.140625" style="54" customWidth="1"/>
    <col min="9986" max="9987" width="10.85546875" style="54" customWidth="1"/>
    <col min="9988" max="9988" width="10.42578125" style="54" customWidth="1"/>
    <col min="9989" max="9989" width="10.5703125" style="54" customWidth="1"/>
    <col min="9990" max="9990" width="10.85546875" style="54" customWidth="1"/>
    <col min="9991" max="9992" width="10.42578125" style="54" customWidth="1"/>
    <col min="9993" max="10239" width="11.42578125" style="54"/>
    <col min="10240" max="10240" width="35.7109375" style="54" customWidth="1"/>
    <col min="10241" max="10241" width="12.140625" style="54" customWidth="1"/>
    <col min="10242" max="10243" width="10.85546875" style="54" customWidth="1"/>
    <col min="10244" max="10244" width="10.42578125" style="54" customWidth="1"/>
    <col min="10245" max="10245" width="10.5703125" style="54" customWidth="1"/>
    <col min="10246" max="10246" width="10.85546875" style="54" customWidth="1"/>
    <col min="10247" max="10248" width="10.42578125" style="54" customWidth="1"/>
    <col min="10249" max="10495" width="11.42578125" style="54"/>
    <col min="10496" max="10496" width="35.7109375" style="54" customWidth="1"/>
    <col min="10497" max="10497" width="12.140625" style="54" customWidth="1"/>
    <col min="10498" max="10499" width="10.85546875" style="54" customWidth="1"/>
    <col min="10500" max="10500" width="10.42578125" style="54" customWidth="1"/>
    <col min="10501" max="10501" width="10.5703125" style="54" customWidth="1"/>
    <col min="10502" max="10502" width="10.85546875" style="54" customWidth="1"/>
    <col min="10503" max="10504" width="10.42578125" style="54" customWidth="1"/>
    <col min="10505" max="10751" width="11.42578125" style="54"/>
    <col min="10752" max="10752" width="35.7109375" style="54" customWidth="1"/>
    <col min="10753" max="10753" width="12.140625" style="54" customWidth="1"/>
    <col min="10754" max="10755" width="10.85546875" style="54" customWidth="1"/>
    <col min="10756" max="10756" width="10.42578125" style="54" customWidth="1"/>
    <col min="10757" max="10757" width="10.5703125" style="54" customWidth="1"/>
    <col min="10758" max="10758" width="10.85546875" style="54" customWidth="1"/>
    <col min="10759" max="10760" width="10.42578125" style="54" customWidth="1"/>
    <col min="10761" max="11007" width="11.42578125" style="54"/>
    <col min="11008" max="11008" width="35.7109375" style="54" customWidth="1"/>
    <col min="11009" max="11009" width="12.140625" style="54" customWidth="1"/>
    <col min="11010" max="11011" width="10.85546875" style="54" customWidth="1"/>
    <col min="11012" max="11012" width="10.42578125" style="54" customWidth="1"/>
    <col min="11013" max="11013" width="10.5703125" style="54" customWidth="1"/>
    <col min="11014" max="11014" width="10.85546875" style="54" customWidth="1"/>
    <col min="11015" max="11016" width="10.42578125" style="54" customWidth="1"/>
    <col min="11017" max="11263" width="11.42578125" style="54"/>
    <col min="11264" max="11264" width="35.7109375" style="54" customWidth="1"/>
    <col min="11265" max="11265" width="12.140625" style="54" customWidth="1"/>
    <col min="11266" max="11267" width="10.85546875" style="54" customWidth="1"/>
    <col min="11268" max="11268" width="10.42578125" style="54" customWidth="1"/>
    <col min="11269" max="11269" width="10.5703125" style="54" customWidth="1"/>
    <col min="11270" max="11270" width="10.85546875" style="54" customWidth="1"/>
    <col min="11271" max="11272" width="10.42578125" style="54" customWidth="1"/>
    <col min="11273" max="11519" width="11.42578125" style="54"/>
    <col min="11520" max="11520" width="35.7109375" style="54" customWidth="1"/>
    <col min="11521" max="11521" width="12.140625" style="54" customWidth="1"/>
    <col min="11522" max="11523" width="10.85546875" style="54" customWidth="1"/>
    <col min="11524" max="11524" width="10.42578125" style="54" customWidth="1"/>
    <col min="11525" max="11525" width="10.5703125" style="54" customWidth="1"/>
    <col min="11526" max="11526" width="10.85546875" style="54" customWidth="1"/>
    <col min="11527" max="11528" width="10.42578125" style="54" customWidth="1"/>
    <col min="11529" max="11775" width="11.42578125" style="54"/>
    <col min="11776" max="11776" width="35.7109375" style="54" customWidth="1"/>
    <col min="11777" max="11777" width="12.140625" style="54" customWidth="1"/>
    <col min="11778" max="11779" width="10.85546875" style="54" customWidth="1"/>
    <col min="11780" max="11780" width="10.42578125" style="54" customWidth="1"/>
    <col min="11781" max="11781" width="10.5703125" style="54" customWidth="1"/>
    <col min="11782" max="11782" width="10.85546875" style="54" customWidth="1"/>
    <col min="11783" max="11784" width="10.42578125" style="54" customWidth="1"/>
    <col min="11785" max="12031" width="11.42578125" style="54"/>
    <col min="12032" max="12032" width="35.7109375" style="54" customWidth="1"/>
    <col min="12033" max="12033" width="12.140625" style="54" customWidth="1"/>
    <col min="12034" max="12035" width="10.85546875" style="54" customWidth="1"/>
    <col min="12036" max="12036" width="10.42578125" style="54" customWidth="1"/>
    <col min="12037" max="12037" width="10.5703125" style="54" customWidth="1"/>
    <col min="12038" max="12038" width="10.85546875" style="54" customWidth="1"/>
    <col min="12039" max="12040" width="10.42578125" style="54" customWidth="1"/>
    <col min="12041" max="12287" width="11.42578125" style="54"/>
    <col min="12288" max="12288" width="35.7109375" style="54" customWidth="1"/>
    <col min="12289" max="12289" width="12.140625" style="54" customWidth="1"/>
    <col min="12290" max="12291" width="10.85546875" style="54" customWidth="1"/>
    <col min="12292" max="12292" width="10.42578125" style="54" customWidth="1"/>
    <col min="12293" max="12293" width="10.5703125" style="54" customWidth="1"/>
    <col min="12294" max="12294" width="10.85546875" style="54" customWidth="1"/>
    <col min="12295" max="12296" width="10.42578125" style="54" customWidth="1"/>
    <col min="12297" max="12543" width="11.42578125" style="54"/>
    <col min="12544" max="12544" width="35.7109375" style="54" customWidth="1"/>
    <col min="12545" max="12545" width="12.140625" style="54" customWidth="1"/>
    <col min="12546" max="12547" width="10.85546875" style="54" customWidth="1"/>
    <col min="12548" max="12548" width="10.42578125" style="54" customWidth="1"/>
    <col min="12549" max="12549" width="10.5703125" style="54" customWidth="1"/>
    <col min="12550" max="12550" width="10.85546875" style="54" customWidth="1"/>
    <col min="12551" max="12552" width="10.42578125" style="54" customWidth="1"/>
    <col min="12553" max="12799" width="11.42578125" style="54"/>
    <col min="12800" max="12800" width="35.7109375" style="54" customWidth="1"/>
    <col min="12801" max="12801" width="12.140625" style="54" customWidth="1"/>
    <col min="12802" max="12803" width="10.85546875" style="54" customWidth="1"/>
    <col min="12804" max="12804" width="10.42578125" style="54" customWidth="1"/>
    <col min="12805" max="12805" width="10.5703125" style="54" customWidth="1"/>
    <col min="12806" max="12806" width="10.85546875" style="54" customWidth="1"/>
    <col min="12807" max="12808" width="10.42578125" style="54" customWidth="1"/>
    <col min="12809" max="13055" width="11.42578125" style="54"/>
    <col min="13056" max="13056" width="35.7109375" style="54" customWidth="1"/>
    <col min="13057" max="13057" width="12.140625" style="54" customWidth="1"/>
    <col min="13058" max="13059" width="10.85546875" style="54" customWidth="1"/>
    <col min="13060" max="13060" width="10.42578125" style="54" customWidth="1"/>
    <col min="13061" max="13061" width="10.5703125" style="54" customWidth="1"/>
    <col min="13062" max="13062" width="10.85546875" style="54" customWidth="1"/>
    <col min="13063" max="13064" width="10.42578125" style="54" customWidth="1"/>
    <col min="13065" max="13311" width="11.42578125" style="54"/>
    <col min="13312" max="13312" width="35.7109375" style="54" customWidth="1"/>
    <col min="13313" max="13313" width="12.140625" style="54" customWidth="1"/>
    <col min="13314" max="13315" width="10.85546875" style="54" customWidth="1"/>
    <col min="13316" max="13316" width="10.42578125" style="54" customWidth="1"/>
    <col min="13317" max="13317" width="10.5703125" style="54" customWidth="1"/>
    <col min="13318" max="13318" width="10.85546875" style="54" customWidth="1"/>
    <col min="13319" max="13320" width="10.42578125" style="54" customWidth="1"/>
    <col min="13321" max="13567" width="11.42578125" style="54"/>
    <col min="13568" max="13568" width="35.7109375" style="54" customWidth="1"/>
    <col min="13569" max="13569" width="12.140625" style="54" customWidth="1"/>
    <col min="13570" max="13571" width="10.85546875" style="54" customWidth="1"/>
    <col min="13572" max="13572" width="10.42578125" style="54" customWidth="1"/>
    <col min="13573" max="13573" width="10.5703125" style="54" customWidth="1"/>
    <col min="13574" max="13574" width="10.85546875" style="54" customWidth="1"/>
    <col min="13575" max="13576" width="10.42578125" style="54" customWidth="1"/>
    <col min="13577" max="13823" width="11.42578125" style="54"/>
    <col min="13824" max="13824" width="35.7109375" style="54" customWidth="1"/>
    <col min="13825" max="13825" width="12.140625" style="54" customWidth="1"/>
    <col min="13826" max="13827" width="10.85546875" style="54" customWidth="1"/>
    <col min="13828" max="13828" width="10.42578125" style="54" customWidth="1"/>
    <col min="13829" max="13829" width="10.5703125" style="54" customWidth="1"/>
    <col min="13830" max="13830" width="10.85546875" style="54" customWidth="1"/>
    <col min="13831" max="13832" width="10.42578125" style="54" customWidth="1"/>
    <col min="13833" max="14079" width="11.42578125" style="54"/>
    <col min="14080" max="14080" width="35.7109375" style="54" customWidth="1"/>
    <col min="14081" max="14081" width="12.140625" style="54" customWidth="1"/>
    <col min="14082" max="14083" width="10.85546875" style="54" customWidth="1"/>
    <col min="14084" max="14084" width="10.42578125" style="54" customWidth="1"/>
    <col min="14085" max="14085" width="10.5703125" style="54" customWidth="1"/>
    <col min="14086" max="14086" width="10.85546875" style="54" customWidth="1"/>
    <col min="14087" max="14088" width="10.42578125" style="54" customWidth="1"/>
    <col min="14089" max="14335" width="11.42578125" style="54"/>
    <col min="14336" max="14336" width="35.7109375" style="54" customWidth="1"/>
    <col min="14337" max="14337" width="12.140625" style="54" customWidth="1"/>
    <col min="14338" max="14339" width="10.85546875" style="54" customWidth="1"/>
    <col min="14340" max="14340" width="10.42578125" style="54" customWidth="1"/>
    <col min="14341" max="14341" width="10.5703125" style="54" customWidth="1"/>
    <col min="14342" max="14342" width="10.85546875" style="54" customWidth="1"/>
    <col min="14343" max="14344" width="10.42578125" style="54" customWidth="1"/>
    <col min="14345" max="14591" width="11.42578125" style="54"/>
    <col min="14592" max="14592" width="35.7109375" style="54" customWidth="1"/>
    <col min="14593" max="14593" width="12.140625" style="54" customWidth="1"/>
    <col min="14594" max="14595" width="10.85546875" style="54" customWidth="1"/>
    <col min="14596" max="14596" width="10.42578125" style="54" customWidth="1"/>
    <col min="14597" max="14597" width="10.5703125" style="54" customWidth="1"/>
    <col min="14598" max="14598" width="10.85546875" style="54" customWidth="1"/>
    <col min="14599" max="14600" width="10.42578125" style="54" customWidth="1"/>
    <col min="14601" max="14847" width="11.42578125" style="54"/>
    <col min="14848" max="14848" width="35.7109375" style="54" customWidth="1"/>
    <col min="14849" max="14849" width="12.140625" style="54" customWidth="1"/>
    <col min="14850" max="14851" width="10.85546875" style="54" customWidth="1"/>
    <col min="14852" max="14852" width="10.42578125" style="54" customWidth="1"/>
    <col min="14853" max="14853" width="10.5703125" style="54" customWidth="1"/>
    <col min="14854" max="14854" width="10.85546875" style="54" customWidth="1"/>
    <col min="14855" max="14856" width="10.42578125" style="54" customWidth="1"/>
    <col min="14857" max="15103" width="11.42578125" style="54"/>
    <col min="15104" max="15104" width="35.7109375" style="54" customWidth="1"/>
    <col min="15105" max="15105" width="12.140625" style="54" customWidth="1"/>
    <col min="15106" max="15107" width="10.85546875" style="54" customWidth="1"/>
    <col min="15108" max="15108" width="10.42578125" style="54" customWidth="1"/>
    <col min="15109" max="15109" width="10.5703125" style="54" customWidth="1"/>
    <col min="15110" max="15110" width="10.85546875" style="54" customWidth="1"/>
    <col min="15111" max="15112" width="10.42578125" style="54" customWidth="1"/>
    <col min="15113" max="15359" width="11.42578125" style="54"/>
    <col min="15360" max="15360" width="35.7109375" style="54" customWidth="1"/>
    <col min="15361" max="15361" width="12.140625" style="54" customWidth="1"/>
    <col min="15362" max="15363" width="10.85546875" style="54" customWidth="1"/>
    <col min="15364" max="15364" width="10.42578125" style="54" customWidth="1"/>
    <col min="15365" max="15365" width="10.5703125" style="54" customWidth="1"/>
    <col min="15366" max="15366" width="10.85546875" style="54" customWidth="1"/>
    <col min="15367" max="15368" width="10.42578125" style="54" customWidth="1"/>
    <col min="15369" max="15615" width="11.42578125" style="54"/>
    <col min="15616" max="15616" width="35.7109375" style="54" customWidth="1"/>
    <col min="15617" max="15617" width="12.140625" style="54" customWidth="1"/>
    <col min="15618" max="15619" width="10.85546875" style="54" customWidth="1"/>
    <col min="15620" max="15620" width="10.42578125" style="54" customWidth="1"/>
    <col min="15621" max="15621" width="10.5703125" style="54" customWidth="1"/>
    <col min="15622" max="15622" width="10.85546875" style="54" customWidth="1"/>
    <col min="15623" max="15624" width="10.42578125" style="54" customWidth="1"/>
    <col min="15625" max="15871" width="11.42578125" style="54"/>
    <col min="15872" max="15872" width="35.7109375" style="54" customWidth="1"/>
    <col min="15873" max="15873" width="12.140625" style="54" customWidth="1"/>
    <col min="15874" max="15875" width="10.85546875" style="54" customWidth="1"/>
    <col min="15876" max="15876" width="10.42578125" style="54" customWidth="1"/>
    <col min="15877" max="15877" width="10.5703125" style="54" customWidth="1"/>
    <col min="15878" max="15878" width="10.85546875" style="54" customWidth="1"/>
    <col min="15879" max="15880" width="10.42578125" style="54" customWidth="1"/>
    <col min="15881" max="16127" width="11.42578125" style="54"/>
    <col min="16128" max="16128" width="35.7109375" style="54" customWidth="1"/>
    <col min="16129" max="16129" width="12.140625" style="54" customWidth="1"/>
    <col min="16130" max="16131" width="10.85546875" style="54" customWidth="1"/>
    <col min="16132" max="16132" width="10.42578125" style="54" customWidth="1"/>
    <col min="16133" max="16133" width="10.5703125" style="54" customWidth="1"/>
    <col min="16134" max="16134" width="10.85546875" style="54" customWidth="1"/>
    <col min="16135" max="16136" width="10.42578125" style="54" customWidth="1"/>
    <col min="16137" max="16384" width="11.42578125" style="54"/>
  </cols>
  <sheetData>
    <row r="1" spans="1:11" ht="18">
      <c r="A1" s="52" t="str">
        <f>HLOOKUP(INDICE!$F$2,Nombres!$C$3:$E$874,397)</f>
        <v>Breakdown of performing loans under management</v>
      </c>
      <c r="B1" s="53"/>
      <c r="C1" s="53"/>
      <c r="D1" s="53"/>
      <c r="E1" s="53"/>
      <c r="F1" s="53"/>
      <c r="G1" s="53"/>
      <c r="H1" s="53"/>
      <c r="I1" s="53"/>
    </row>
    <row r="2" spans="1:11" ht="15.75">
      <c r="A2" s="55" t="str">
        <f>HLOOKUP(INDICE!$F$2,Nombres!$C$3:$E$874,31)</f>
        <v xml:space="preserve">(Constant million euros)    </v>
      </c>
      <c r="B2" s="56"/>
      <c r="C2" s="56"/>
      <c r="D2" s="56"/>
      <c r="E2" s="56"/>
      <c r="F2" s="56"/>
      <c r="G2" s="56"/>
      <c r="H2" s="56"/>
      <c r="I2" s="56"/>
    </row>
    <row r="3" spans="1:11" ht="15.75">
      <c r="A3" s="57"/>
      <c r="B3" s="327" t="str">
        <f>HLOOKUP(INDICE!$F$2,Nombres!$C$3:$E$853,301)</f>
        <v>Banking activity in Spain</v>
      </c>
      <c r="C3" s="327"/>
      <c r="D3" s="327"/>
      <c r="E3" s="327"/>
      <c r="F3" s="327"/>
      <c r="G3" s="327"/>
      <c r="H3" s="327"/>
      <c r="I3" s="327"/>
      <c r="K3" s="326"/>
    </row>
    <row r="4" spans="1:11" ht="15.75">
      <c r="A4" s="58"/>
      <c r="B4" s="59">
        <v>42825</v>
      </c>
      <c r="C4" s="59">
        <v>42916</v>
      </c>
      <c r="D4" s="59">
        <v>43008</v>
      </c>
      <c r="E4" s="59">
        <v>43100</v>
      </c>
      <c r="F4" s="59">
        <v>43190</v>
      </c>
      <c r="G4" s="59">
        <v>43281</v>
      </c>
      <c r="H4" s="59">
        <v>43373</v>
      </c>
      <c r="K4" s="326"/>
    </row>
    <row r="5" spans="1:11">
      <c r="A5" s="60" t="str">
        <f>HLOOKUP(INDICE!$F$2,Nombres!$C$3:$E$874,383)</f>
        <v>Mortgages</v>
      </c>
      <c r="B5" s="61">
        <v>80005.326820000002</v>
      </c>
      <c r="C5" s="61">
        <v>79113.472256999987</v>
      </c>
      <c r="D5" s="61">
        <v>78381.682908000002</v>
      </c>
      <c r="E5" s="61">
        <v>77418.777333000005</v>
      </c>
      <c r="F5" s="61">
        <v>76603.474749999994</v>
      </c>
      <c r="G5" s="61">
        <v>76154.115168999997</v>
      </c>
      <c r="H5" s="61">
        <v>75479.398772999979</v>
      </c>
      <c r="I5" s="61"/>
    </row>
    <row r="6" spans="1:11">
      <c r="A6" s="60" t="str">
        <f>HLOOKUP(INDICE!$F$2,Nombres!$C$3:$E$874,384)</f>
        <v>Consumer and credit cards</v>
      </c>
      <c r="B6" s="61">
        <v>8012.9310489999989</v>
      </c>
      <c r="C6" s="61">
        <v>8487.790986</v>
      </c>
      <c r="D6" s="61">
        <v>8941.9772369999991</v>
      </c>
      <c r="E6" s="61">
        <v>9641.7686429999994</v>
      </c>
      <c r="F6" s="61">
        <v>9854.0843700000005</v>
      </c>
      <c r="G6" s="61">
        <v>10856.659487000001</v>
      </c>
      <c r="H6" s="61">
        <v>11257.760396999998</v>
      </c>
      <c r="I6" s="61"/>
    </row>
    <row r="7" spans="1:11">
      <c r="A7" s="60" t="str">
        <f>HLOOKUP(INDICE!$F$2,Nombres!$C$3:$E$874,385)</f>
        <v>Public sector</v>
      </c>
      <c r="B7" s="61">
        <v>18378.434996999997</v>
      </c>
      <c r="C7" s="61">
        <v>18215.777126000005</v>
      </c>
      <c r="D7" s="61">
        <v>16952.047777999996</v>
      </c>
      <c r="E7" s="61">
        <v>16131.309773000001</v>
      </c>
      <c r="F7" s="61">
        <v>15500.625150000002</v>
      </c>
      <c r="G7" s="61">
        <v>15877.833107999999</v>
      </c>
      <c r="H7" s="61">
        <v>15153.833625999998</v>
      </c>
      <c r="I7" s="61"/>
    </row>
    <row r="8" spans="1:11">
      <c r="A8" s="60" t="str">
        <f>HLOOKUP(INDICE!$F$2,Nombres!$C$3:$E$874,386)</f>
        <v>Corporates</v>
      </c>
      <c r="B8" s="61">
        <v>23638.917362</v>
      </c>
      <c r="C8" s="61">
        <v>23490.867509310003</v>
      </c>
      <c r="D8" s="61">
        <v>23008.380767000002</v>
      </c>
      <c r="E8" s="61">
        <v>23661.314463999999</v>
      </c>
      <c r="F8" s="61">
        <v>21400.198972999999</v>
      </c>
      <c r="G8" s="61">
        <v>23446.039786000001</v>
      </c>
      <c r="H8" s="61">
        <v>23171.435575309999</v>
      </c>
      <c r="I8" s="61"/>
    </row>
    <row r="9" spans="1:11">
      <c r="A9" s="60" t="str">
        <f>HLOOKUP(INDICE!$F$2,Nombres!$C$3:$E$874,387)</f>
        <v>Other commercial</v>
      </c>
      <c r="B9" s="61">
        <v>20380.058083999982</v>
      </c>
      <c r="C9" s="61">
        <v>21178.291868070028</v>
      </c>
      <c r="D9" s="61">
        <v>21960.527359070027</v>
      </c>
      <c r="E9" s="61">
        <v>22900.026077669998</v>
      </c>
      <c r="F9" s="61">
        <v>21980.342792000018</v>
      </c>
      <c r="G9" s="61">
        <v>20026.380333999987</v>
      </c>
      <c r="H9" s="61">
        <v>19909.904230689997</v>
      </c>
      <c r="I9" s="61"/>
    </row>
    <row r="10" spans="1:11">
      <c r="A10" s="60" t="str">
        <f>HLOOKUP(INDICE!$F$2,Nombres!$C$3:$E$874,388)</f>
        <v>Very small businesses</v>
      </c>
      <c r="B10" s="61">
        <v>12322.610984000001</v>
      </c>
      <c r="C10" s="61">
        <v>12195.724246999998</v>
      </c>
      <c r="D10" s="61">
        <v>12415.235538000001</v>
      </c>
      <c r="E10" s="61">
        <v>12693.671722999999</v>
      </c>
      <c r="F10" s="61">
        <v>12921.687968</v>
      </c>
      <c r="G10" s="61">
        <v>13247.346818000002</v>
      </c>
      <c r="H10" s="61">
        <v>13363.061274</v>
      </c>
      <c r="I10" s="61"/>
    </row>
    <row r="11" spans="1:11">
      <c r="A11" s="60" t="str">
        <f>HLOOKUP(INDICE!$F$2,Nombres!$C$3:$E$874,389)</f>
        <v>Other</v>
      </c>
      <c r="B11" s="61">
        <v>4516.3446879999974</v>
      </c>
      <c r="C11" s="61">
        <v>5767.7153079999989</v>
      </c>
      <c r="D11" s="61">
        <v>4694.6875600000203</v>
      </c>
      <c r="E11" s="61">
        <v>4844.22380599998</v>
      </c>
      <c r="F11" s="61">
        <v>5029.8936280000053</v>
      </c>
      <c r="G11" s="61">
        <v>6296.9867140000133</v>
      </c>
      <c r="H11" s="61">
        <v>5532.6187320000026</v>
      </c>
      <c r="I11" s="61"/>
    </row>
    <row r="12" spans="1:11">
      <c r="A12" s="62" t="str">
        <f>HLOOKUP(INDICE!$F$2,Nombres!$C$3:$E$874,390)</f>
        <v>Performing loans under management (*)</v>
      </c>
      <c r="B12" s="62">
        <v>167254.62398399998</v>
      </c>
      <c r="C12" s="62">
        <v>168449.63930138</v>
      </c>
      <c r="D12" s="62">
        <v>166354.53914707006</v>
      </c>
      <c r="E12" s="62">
        <v>167291.09181966999</v>
      </c>
      <c r="F12" s="62">
        <v>163290.307631</v>
      </c>
      <c r="G12" s="62">
        <v>165905.361416</v>
      </c>
      <c r="H12" s="62">
        <v>163868.01260799996</v>
      </c>
      <c r="I12" s="62"/>
    </row>
    <row r="13" spans="1:11" ht="15.75">
      <c r="A13" s="56"/>
      <c r="B13" s="63"/>
      <c r="C13" s="63"/>
      <c r="D13" s="63"/>
      <c r="E13" s="63"/>
      <c r="F13" s="63"/>
      <c r="G13" s="63"/>
      <c r="H13" s="63"/>
      <c r="I13" s="63"/>
    </row>
    <row r="14" spans="1:11" ht="15.75">
      <c r="A14" s="56"/>
      <c r="B14" s="63"/>
      <c r="C14" s="63"/>
      <c r="D14" s="63"/>
      <c r="E14" s="63"/>
      <c r="F14" s="63"/>
      <c r="G14" s="63"/>
      <c r="H14" s="63"/>
      <c r="I14" s="63"/>
    </row>
    <row r="15" spans="1:11" ht="15.75">
      <c r="A15" s="57"/>
      <c r="B15" s="327" t="str">
        <f>HLOOKUP(INDICE!$F$2,Nombres!$C$3:$E$853,20)</f>
        <v>The United States</v>
      </c>
      <c r="C15" s="327"/>
      <c r="D15" s="327"/>
      <c r="E15" s="327"/>
      <c r="F15" s="327"/>
      <c r="G15" s="327"/>
      <c r="H15" s="327"/>
      <c r="I15" s="327"/>
    </row>
    <row r="16" spans="1:11" ht="15.75">
      <c r="A16" s="58"/>
      <c r="B16" s="59">
        <v>42825</v>
      </c>
      <c r="C16" s="59">
        <v>42916</v>
      </c>
      <c r="D16" s="59">
        <v>43008</v>
      </c>
      <c r="E16" s="59">
        <v>43100</v>
      </c>
      <c r="F16" s="59">
        <v>43190</v>
      </c>
      <c r="G16" s="59">
        <v>43281</v>
      </c>
      <c r="H16" s="59">
        <v>43373</v>
      </c>
    </row>
    <row r="17" spans="1:9">
      <c r="A17" s="60" t="str">
        <f>HLOOKUP(INDICE!$F$2,Nombres!$C$3:$E$874,383)</f>
        <v>Mortgages</v>
      </c>
      <c r="B17" s="61">
        <v>11509.616038702663</v>
      </c>
      <c r="C17" s="61">
        <v>11462.17909177937</v>
      </c>
      <c r="D17" s="61">
        <v>11487.762351816995</v>
      </c>
      <c r="E17" s="61">
        <v>11446.475089480104</v>
      </c>
      <c r="F17" s="61">
        <v>11026.559987598648</v>
      </c>
      <c r="G17" s="61">
        <v>11036.755549080342</v>
      </c>
      <c r="H17" s="61">
        <v>11094.246244750002</v>
      </c>
    </row>
    <row r="18" spans="1:9">
      <c r="A18" s="60" t="str">
        <f>HLOOKUP(INDICE!$F$2,Nombres!$C$3:$E$874,396)</f>
        <v>Consumer</v>
      </c>
      <c r="B18" s="61">
        <v>6182.3085604369062</v>
      </c>
      <c r="C18" s="61">
        <v>6254.0851647982017</v>
      </c>
      <c r="D18" s="61">
        <v>6345.0516053657093</v>
      </c>
      <c r="E18" s="61">
        <v>6539.349663297171</v>
      </c>
      <c r="F18" s="61">
        <v>7020.0213347410609</v>
      </c>
      <c r="G18" s="61">
        <v>7356.5467403997254</v>
      </c>
      <c r="H18" s="61">
        <v>7808.1398594599996</v>
      </c>
      <c r="I18" s="61"/>
    </row>
    <row r="19" spans="1:9">
      <c r="A19" s="60" t="str">
        <f>HLOOKUP(INDICE!$F$2,Nombres!$C$3:$E$874,393)</f>
        <v>Credit cards</v>
      </c>
      <c r="B19" s="61">
        <v>489.14412369900185</v>
      </c>
      <c r="C19" s="61">
        <v>492.48743513356948</v>
      </c>
      <c r="D19" s="61">
        <v>504.98858652957654</v>
      </c>
      <c r="E19" s="61">
        <v>548.16310948754733</v>
      </c>
      <c r="F19" s="61">
        <v>551.01183123549515</v>
      </c>
      <c r="G19" s="61">
        <v>589.29154354075536</v>
      </c>
      <c r="H19" s="61">
        <v>666.08202333999998</v>
      </c>
      <c r="I19" s="61"/>
    </row>
    <row r="20" spans="1:9">
      <c r="A20" s="60" t="str">
        <f>HLOOKUP(INDICE!$F$2,Nombres!$C$3:$E$874,391)</f>
        <v>SMEs</v>
      </c>
      <c r="B20" s="61">
        <v>2440.8622895474559</v>
      </c>
      <c r="C20" s="61">
        <v>2319.3055760248485</v>
      </c>
      <c r="D20" s="61">
        <v>2265.1515800638499</v>
      </c>
      <c r="E20" s="61">
        <v>2251.2259363372054</v>
      </c>
      <c r="F20" s="61">
        <v>2278.5578052950054</v>
      </c>
      <c r="G20" s="61">
        <v>2455.5156164106379</v>
      </c>
      <c r="H20" s="61">
        <v>2472.8563239599998</v>
      </c>
      <c r="I20" s="61"/>
    </row>
    <row r="21" spans="1:9">
      <c r="A21" s="60" t="s">
        <v>742</v>
      </c>
      <c r="B21" s="61">
        <v>9218.5684723629438</v>
      </c>
      <c r="C21" s="61">
        <v>8815.625431152228</v>
      </c>
      <c r="D21" s="61">
        <v>8795.8208976981205</v>
      </c>
      <c r="E21" s="61">
        <v>8422.8094711027516</v>
      </c>
      <c r="F21" s="61">
        <v>8298.4169555628887</v>
      </c>
      <c r="G21" s="61">
        <v>8738.6956034245577</v>
      </c>
      <c r="H21" s="61">
        <v>8823.0237244600012</v>
      </c>
      <c r="I21" s="61"/>
    </row>
    <row r="22" spans="1:9">
      <c r="A22" s="60" t="str">
        <f>HLOOKUP(INDICE!$F$2,Nombres!$C$3:$E$874,387)</f>
        <v>Other commercial</v>
      </c>
      <c r="B22" s="61">
        <v>20791.717031666361</v>
      </c>
      <c r="C22" s="61">
        <v>21080.358730416028</v>
      </c>
      <c r="D22" s="61">
        <v>21116.824208593949</v>
      </c>
      <c r="E22" s="61">
        <v>21457.167633914523</v>
      </c>
      <c r="F22" s="61">
        <v>21373.169948671366</v>
      </c>
      <c r="G22" s="61">
        <v>21541.082014944899</v>
      </c>
      <c r="H22" s="61">
        <v>22439.488138420002</v>
      </c>
      <c r="I22" s="61"/>
    </row>
    <row r="23" spans="1:9">
      <c r="A23" s="60" t="str">
        <f>HLOOKUP(INDICE!$F$2,Nombres!$C$3:$E$874,385)</f>
        <v>Public sector</v>
      </c>
      <c r="B23" s="61">
        <v>4389.0208004711621</v>
      </c>
      <c r="C23" s="61">
        <v>4401.9452002772769</v>
      </c>
      <c r="D23" s="61">
        <v>4723.4526650099369</v>
      </c>
      <c r="E23" s="61">
        <v>5317.6135083794316</v>
      </c>
      <c r="F23" s="61">
        <v>5242.1587004217572</v>
      </c>
      <c r="G23" s="61">
        <v>5317.7160716057242</v>
      </c>
      <c r="H23" s="61">
        <v>5328.8978062800006</v>
      </c>
      <c r="I23" s="61"/>
    </row>
    <row r="24" spans="1:9">
      <c r="A24" s="60" t="str">
        <f>HLOOKUP(INDICE!$F$2,Nombres!$C$3:$E$874,389)</f>
        <v>Other</v>
      </c>
      <c r="B24" s="61">
        <v>0</v>
      </c>
      <c r="C24" s="61">
        <v>0</v>
      </c>
      <c r="D24" s="61">
        <v>0</v>
      </c>
      <c r="E24" s="61">
        <v>0</v>
      </c>
      <c r="F24" s="61">
        <v>90.417017583429697</v>
      </c>
      <c r="G24" s="61">
        <v>23.303541938832495</v>
      </c>
      <c r="H24" s="61">
        <v>96.112237539997295</v>
      </c>
      <c r="I24" s="61"/>
    </row>
    <row r="25" spans="1:9">
      <c r="A25" s="62" t="str">
        <f>HLOOKUP(INDICE!$F$2,Nombres!$C$3:$E$874,390)</f>
        <v>Performing loans under management (*)</v>
      </c>
      <c r="B25" s="62">
        <v>55021.237316886494</v>
      </c>
      <c r="C25" s="62">
        <v>54825.986629581523</v>
      </c>
      <c r="D25" s="62">
        <v>55239.051895078141</v>
      </c>
      <c r="E25" s="62">
        <v>55982.804411998739</v>
      </c>
      <c r="F25" s="62">
        <v>55880.313581109651</v>
      </c>
      <c r="G25" s="62">
        <v>57058.90668134547</v>
      </c>
      <c r="H25" s="62">
        <v>58728.846358210008</v>
      </c>
      <c r="I25" s="62"/>
    </row>
    <row r="26" spans="1:9" ht="15.75">
      <c r="A26" s="56"/>
      <c r="B26" s="63"/>
      <c r="C26" s="63"/>
      <c r="D26" s="63"/>
      <c r="E26" s="63"/>
      <c r="F26" s="63"/>
      <c r="G26" s="63"/>
      <c r="H26" s="63"/>
      <c r="I26" s="63"/>
    </row>
    <row r="27" spans="1:9" ht="15.75">
      <c r="A27" s="56"/>
      <c r="B27" s="56"/>
      <c r="C27" s="56"/>
      <c r="D27" s="56"/>
      <c r="E27" s="56"/>
      <c r="F27" s="56"/>
      <c r="G27" s="56"/>
      <c r="H27" s="56"/>
      <c r="I27" s="56"/>
    </row>
    <row r="28" spans="1:9" ht="15.75">
      <c r="A28" s="57"/>
      <c r="B28" s="327" t="str">
        <f>HLOOKUP(INDICE!$F$2,Nombres!$C$3:$E$853,9)</f>
        <v>Mexico</v>
      </c>
      <c r="C28" s="327"/>
      <c r="D28" s="327"/>
      <c r="E28" s="327"/>
      <c r="F28" s="327"/>
      <c r="G28" s="327"/>
      <c r="H28" s="327"/>
      <c r="I28" s="327"/>
    </row>
    <row r="29" spans="1:9" ht="15.75">
      <c r="A29" s="58"/>
      <c r="B29" s="59">
        <v>42825</v>
      </c>
      <c r="C29" s="59">
        <v>42916</v>
      </c>
      <c r="D29" s="59">
        <v>43008</v>
      </c>
      <c r="E29" s="59">
        <v>43100</v>
      </c>
      <c r="F29" s="59">
        <v>43190</v>
      </c>
      <c r="G29" s="59">
        <v>43281</v>
      </c>
      <c r="H29" s="59">
        <v>43373</v>
      </c>
    </row>
    <row r="30" spans="1:9">
      <c r="A30" s="60" t="str">
        <f>HLOOKUP(INDICE!$F$2,Nombres!$C$3:$E$874,383)</f>
        <v>Mortgages</v>
      </c>
      <c r="B30" s="61">
        <v>8403.9420956924478</v>
      </c>
      <c r="C30" s="61">
        <v>8526.0526411589417</v>
      </c>
      <c r="D30" s="61">
        <v>8627.9082166383723</v>
      </c>
      <c r="E30" s="61">
        <v>8778.8829961439678</v>
      </c>
      <c r="F30" s="61">
        <v>8952.0798817067134</v>
      </c>
      <c r="G30" s="61">
        <v>9130.5261838330989</v>
      </c>
      <c r="H30" s="61">
        <v>9293.2882300299989</v>
      </c>
    </row>
    <row r="31" spans="1:9">
      <c r="A31" s="60" t="str">
        <f>HLOOKUP(INDICE!$F$2,Nombres!$C$3:$E$874,396)</f>
        <v>Consumer</v>
      </c>
      <c r="B31" s="61">
        <v>6695.0016082669699</v>
      </c>
      <c r="C31" s="61">
        <v>6853.8906757002469</v>
      </c>
      <c r="D31" s="61">
        <v>6972.5147126737693</v>
      </c>
      <c r="E31" s="61">
        <v>6977.1372335196129</v>
      </c>
      <c r="F31" s="61">
        <v>7064.0491984501959</v>
      </c>
      <c r="G31" s="61">
        <v>7251.5715110223455</v>
      </c>
      <c r="H31" s="61">
        <v>7453.8619030099999</v>
      </c>
      <c r="I31" s="61"/>
    </row>
    <row r="32" spans="1:9">
      <c r="A32" s="60" t="str">
        <f>HLOOKUP(INDICE!$F$2,Nombres!$C$3:$E$874,393)</f>
        <v>Credit cards</v>
      </c>
      <c r="B32" s="61">
        <v>4509.5598102373669</v>
      </c>
      <c r="C32" s="61">
        <v>4584.4683588836042</v>
      </c>
      <c r="D32" s="61">
        <v>4622.6274942100554</v>
      </c>
      <c r="E32" s="61">
        <v>4777.3483149899976</v>
      </c>
      <c r="F32" s="61">
        <v>4741.8860440932513</v>
      </c>
      <c r="G32" s="61">
        <v>4808.2872795679341</v>
      </c>
      <c r="H32" s="61">
        <v>4767.4208897099998</v>
      </c>
      <c r="I32" s="61"/>
    </row>
    <row r="33" spans="1:9">
      <c r="A33" s="60" t="str">
        <f>HLOOKUP(INDICE!$F$2,Nombres!$C$3:$E$874,391)</f>
        <v>SMEs</v>
      </c>
      <c r="B33" s="61">
        <v>3369.6148556843737</v>
      </c>
      <c r="C33" s="61">
        <v>3419.2598273280373</v>
      </c>
      <c r="D33" s="61">
        <v>3460.7999953938252</v>
      </c>
      <c r="E33" s="61">
        <v>3410.5615915590374</v>
      </c>
      <c r="F33" s="61">
        <v>3467.4711940000002</v>
      </c>
      <c r="G33" s="61">
        <v>3546.1677900000004</v>
      </c>
      <c r="H33" s="61">
        <v>3595.0662000000002</v>
      </c>
      <c r="I33" s="61"/>
    </row>
    <row r="34" spans="1:9">
      <c r="A34" s="60" t="str">
        <f>HLOOKUP(INDICE!$F$2,Nombres!$C$3:$E$874,387)</f>
        <v>Other commercial</v>
      </c>
      <c r="B34" s="61">
        <v>17422.920108930051</v>
      </c>
      <c r="C34" s="61">
        <v>18417.304705982926</v>
      </c>
      <c r="D34" s="61">
        <v>19187.413493635242</v>
      </c>
      <c r="E34" s="61">
        <v>19379.121183238909</v>
      </c>
      <c r="F34" s="61">
        <v>18415.546110422329</v>
      </c>
      <c r="G34" s="61">
        <v>21104.900945201683</v>
      </c>
      <c r="H34" s="61">
        <v>20339.386835139998</v>
      </c>
      <c r="I34" s="61"/>
    </row>
    <row r="35" spans="1:9">
      <c r="A35" s="60" t="str">
        <f>HLOOKUP(INDICE!$F$2,Nombres!$C$3:$E$874,385)</f>
        <v>Public sector</v>
      </c>
      <c r="B35" s="61">
        <v>6160.092849042725</v>
      </c>
      <c r="C35" s="61">
        <v>6080.3586562815944</v>
      </c>
      <c r="D35" s="61">
        <v>5940.5003758955827</v>
      </c>
      <c r="E35" s="61">
        <v>5716.1657295055866</v>
      </c>
      <c r="F35" s="61">
        <v>5797.1513193823721</v>
      </c>
      <c r="G35" s="61">
        <v>5716.7536163436944</v>
      </c>
      <c r="H35" s="61">
        <v>6119.7026102600003</v>
      </c>
      <c r="I35" s="61"/>
    </row>
    <row r="36" spans="1:9">
      <c r="A36" s="60" t="str">
        <f>HLOOKUP(INDICE!$F$2,Nombres!$C$3:$E$874,389)</f>
        <v>Other</v>
      </c>
      <c r="B36" s="61">
        <v>61.405013629992027</v>
      </c>
      <c r="C36" s="61">
        <v>59.884979453963751</v>
      </c>
      <c r="D36" s="61">
        <v>70.263981471060106</v>
      </c>
      <c r="E36" s="61">
        <v>61.32937091592612</v>
      </c>
      <c r="F36" s="61">
        <v>421.6280761824928</v>
      </c>
      <c r="G36" s="61">
        <v>517.55135112745847</v>
      </c>
      <c r="H36" s="61">
        <v>480.35163493999789</v>
      </c>
      <c r="I36" s="61"/>
    </row>
    <row r="37" spans="1:9">
      <c r="A37" s="62" t="str">
        <f>HLOOKUP(INDICE!$F$2,Nombres!$C$3:$E$874,390)</f>
        <v>Performing loans under management (*)</v>
      </c>
      <c r="B37" s="62">
        <v>46622.536341483923</v>
      </c>
      <c r="C37" s="62">
        <v>47941.219844789317</v>
      </c>
      <c r="D37" s="62">
        <v>48882.028269917908</v>
      </c>
      <c r="E37" s="62">
        <v>49100.546419873033</v>
      </c>
      <c r="F37" s="62">
        <v>48859.81182423736</v>
      </c>
      <c r="G37" s="62">
        <v>52075.758677096223</v>
      </c>
      <c r="H37" s="62">
        <v>52049.078303089991</v>
      </c>
      <c r="I37" s="62"/>
    </row>
    <row r="38" spans="1:9" ht="15.75">
      <c r="A38" s="56"/>
      <c r="B38" s="63"/>
      <c r="C38" s="63"/>
      <c r="D38" s="63"/>
      <c r="E38" s="63"/>
      <c r="F38" s="63"/>
      <c r="G38" s="63"/>
      <c r="H38" s="63"/>
      <c r="I38" s="63"/>
    </row>
    <row r="39" spans="1:9" ht="15.75">
      <c r="A39" s="56"/>
      <c r="B39" s="63"/>
      <c r="C39" s="63"/>
      <c r="D39" s="63"/>
      <c r="E39" s="63"/>
      <c r="F39" s="63"/>
      <c r="G39" s="63"/>
      <c r="H39" s="63"/>
      <c r="I39" s="63"/>
    </row>
    <row r="40" spans="1:9" ht="15.75">
      <c r="A40" s="57"/>
      <c r="B40" s="327" t="str">
        <f>HLOOKUP(INDICE!$F$2,Nombres!$C$3:$E$853,295)</f>
        <v xml:space="preserve">Turkey </v>
      </c>
      <c r="C40" s="327"/>
      <c r="D40" s="327"/>
      <c r="E40" s="327"/>
      <c r="F40" s="327"/>
      <c r="G40" s="327"/>
      <c r="H40" s="327"/>
      <c r="I40" s="327"/>
    </row>
    <row r="41" spans="1:9" ht="15.75">
      <c r="A41" s="58"/>
      <c r="B41" s="59">
        <v>42825</v>
      </c>
      <c r="C41" s="59">
        <v>42916</v>
      </c>
      <c r="D41" s="59">
        <v>43008</v>
      </c>
      <c r="E41" s="59">
        <v>43100</v>
      </c>
      <c r="F41" s="59">
        <v>43190</v>
      </c>
      <c r="G41" s="59">
        <v>43281</v>
      </c>
      <c r="H41" s="59">
        <v>43373</v>
      </c>
      <c r="I41" s="61"/>
    </row>
    <row r="42" spans="1:9">
      <c r="A42" s="60" t="str">
        <f>HLOOKUP(INDICE!$F$2,Nombres!$C$3:$E$874,383)</f>
        <v>Mortgages</v>
      </c>
      <c r="B42" s="61">
        <v>3193.9300330389246</v>
      </c>
      <c r="C42" s="61">
        <v>3217.3140867872949</v>
      </c>
      <c r="D42" s="61">
        <v>3298.1307061918792</v>
      </c>
      <c r="E42" s="61">
        <v>3360.0119274500003</v>
      </c>
      <c r="F42" s="61">
        <v>3408.0655042697608</v>
      </c>
      <c r="G42" s="61">
        <v>3390.9856155469975</v>
      </c>
      <c r="H42" s="61">
        <v>3262.9934980900002</v>
      </c>
      <c r="I42" s="61"/>
    </row>
    <row r="43" spans="1:9">
      <c r="A43" s="60" t="str">
        <f>HLOOKUP(INDICE!$F$2,Nombres!$C$3:$E$874,396)</f>
        <v>Consumer</v>
      </c>
      <c r="B43" s="61">
        <v>3999.2491313160122</v>
      </c>
      <c r="C43" s="61">
        <v>4059.0451422257502</v>
      </c>
      <c r="D43" s="61">
        <v>4173.6327500873094</v>
      </c>
      <c r="E43" s="61">
        <v>4412.7746236852336</v>
      </c>
      <c r="F43" s="61">
        <v>4636.4330317947333</v>
      </c>
      <c r="G43" s="61">
        <v>4804.0354405661556</v>
      </c>
      <c r="H43" s="61">
        <v>4850.0524422600001</v>
      </c>
      <c r="I43" s="61"/>
    </row>
    <row r="44" spans="1:9">
      <c r="A44" s="60" t="str">
        <f>HLOOKUP(INDICE!$F$2,Nombres!$C$3:$E$874,393)</f>
        <v>Credit cards</v>
      </c>
      <c r="B44" s="61">
        <v>2552.1557639635771</v>
      </c>
      <c r="C44" s="61">
        <v>2545.0208302106062</v>
      </c>
      <c r="D44" s="61">
        <v>2801.8817458818257</v>
      </c>
      <c r="E44" s="61">
        <v>2888.1736993327395</v>
      </c>
      <c r="F44" s="61">
        <v>2928.081412416374</v>
      </c>
      <c r="G44" s="61">
        <v>3062.001557370048</v>
      </c>
      <c r="H44" s="61">
        <v>3295.3520000000003</v>
      </c>
      <c r="I44" s="61"/>
    </row>
    <row r="45" spans="1:9">
      <c r="A45" s="60" t="str">
        <f>HLOOKUP(INDICE!$F$2,Nombres!$C$3:$E$874,394)</f>
        <v>Business banking</v>
      </c>
      <c r="B45" s="60">
        <v>21069.998066544802</v>
      </c>
      <c r="C45" s="60">
        <v>21845.684407685265</v>
      </c>
      <c r="D45" s="60">
        <v>21316.505604710743</v>
      </c>
      <c r="E45" s="60">
        <v>22435.480832441412</v>
      </c>
      <c r="F45" s="60">
        <v>23278.599728673442</v>
      </c>
      <c r="G45" s="60">
        <v>24891.226753959825</v>
      </c>
      <c r="H45" s="60">
        <v>28203.989000000005</v>
      </c>
      <c r="I45" s="61"/>
    </row>
    <row r="46" spans="1:9">
      <c r="A46" s="60" t="str">
        <f>HLOOKUP(INDICE!$F$2,Nombres!$C$3:$E$874,385)</f>
        <v>Public sector</v>
      </c>
      <c r="B46" s="60">
        <v>99.095465000000019</v>
      </c>
      <c r="C46" s="60">
        <v>101.4782357</v>
      </c>
      <c r="D46" s="60">
        <v>88.025114625000001</v>
      </c>
      <c r="E46" s="60">
        <v>96.351066026925849</v>
      </c>
      <c r="F46" s="60">
        <v>65.124948330411101</v>
      </c>
      <c r="G46" s="60">
        <v>74.918159930386139</v>
      </c>
      <c r="H46" s="60">
        <v>92.75500000000001</v>
      </c>
      <c r="I46" s="61"/>
    </row>
    <row r="47" spans="1:9">
      <c r="A47" s="60" t="str">
        <f>HLOOKUP(INDICE!$F$2,Nombres!$C$3:$E$874,389)</f>
        <v>Other</v>
      </c>
      <c r="B47" s="60">
        <v>152.60471971350489</v>
      </c>
      <c r="C47" s="60">
        <v>146.17528512260287</v>
      </c>
      <c r="D47" s="60">
        <v>441.32149858285084</v>
      </c>
      <c r="E47" s="60">
        <v>383.10948265890875</v>
      </c>
      <c r="F47" s="60">
        <v>425.79691458339403</v>
      </c>
      <c r="G47" s="60">
        <v>444.9703107529931</v>
      </c>
      <c r="H47" s="60">
        <v>475.68705964000037</v>
      </c>
      <c r="I47" s="61"/>
    </row>
    <row r="48" spans="1:9">
      <c r="A48" s="62" t="str">
        <f>HLOOKUP(INDICE!$F$2,Nombres!$C$3:$E$874,390)</f>
        <v>Performing loans under management (*)</v>
      </c>
      <c r="B48" s="62">
        <v>31067.033179576822</v>
      </c>
      <c r="C48" s="62">
        <v>31914.717987731521</v>
      </c>
      <c r="D48" s="62">
        <v>32119.497420079606</v>
      </c>
      <c r="E48" s="62">
        <v>33575.901631595218</v>
      </c>
      <c r="F48" s="62">
        <v>34742.101540068121</v>
      </c>
      <c r="G48" s="62">
        <v>36668.137838126408</v>
      </c>
      <c r="H48" s="62">
        <v>40180.828999990008</v>
      </c>
      <c r="I48" s="62"/>
    </row>
    <row r="49" spans="1:9" ht="15.75">
      <c r="A49" s="56"/>
      <c r="B49" s="56"/>
      <c r="C49" s="56"/>
      <c r="D49" s="56"/>
      <c r="E49" s="63"/>
      <c r="F49" s="56"/>
      <c r="G49" s="56"/>
      <c r="H49" s="56"/>
      <c r="I49" s="56"/>
    </row>
    <row r="50" spans="1:9" ht="15.75">
      <c r="A50" s="56"/>
      <c r="B50" s="56"/>
      <c r="C50" s="56"/>
      <c r="D50" s="56"/>
      <c r="E50" s="56"/>
      <c r="F50" s="56"/>
      <c r="G50" s="56"/>
      <c r="H50" s="56"/>
      <c r="I50" s="56"/>
    </row>
    <row r="51" spans="1:9" ht="15.75">
      <c r="A51" s="57"/>
      <c r="B51" s="327" t="str">
        <f>HLOOKUP(INDICE!$F$2,Nombres!$C$3:$E$853,12)</f>
        <v>South America</v>
      </c>
      <c r="C51" s="327"/>
      <c r="D51" s="327"/>
      <c r="E51" s="327"/>
      <c r="F51" s="327"/>
      <c r="G51" s="327"/>
      <c r="H51" s="327"/>
      <c r="I51" s="327"/>
    </row>
    <row r="52" spans="1:9" ht="15.75">
      <c r="A52" s="58"/>
      <c r="B52" s="59">
        <v>42825</v>
      </c>
      <c r="C52" s="59">
        <v>42916</v>
      </c>
      <c r="D52" s="59">
        <v>43008</v>
      </c>
      <c r="E52" s="59">
        <v>43100</v>
      </c>
      <c r="F52" s="59">
        <v>43190</v>
      </c>
      <c r="G52" s="59">
        <v>43281</v>
      </c>
      <c r="H52" s="59">
        <v>43373</v>
      </c>
      <c r="I52" s="61"/>
    </row>
    <row r="53" spans="1:9">
      <c r="A53" s="60" t="str">
        <f>HLOOKUP(INDICE!$F$2,Nombres!$C$3:$E$874,15)</f>
        <v>Argentina</v>
      </c>
      <c r="B53" s="61">
        <v>1735.7923620779484</v>
      </c>
      <c r="C53" s="61">
        <v>1945.0950937295761</v>
      </c>
      <c r="D53" s="61">
        <v>2367.8460593093396</v>
      </c>
      <c r="E53" s="61">
        <v>2822.3194346113505</v>
      </c>
      <c r="F53" s="61">
        <v>3017.9781322466433</v>
      </c>
      <c r="G53" s="61">
        <v>3453.2991137333038</v>
      </c>
      <c r="H53" s="61">
        <v>3799.2031245799994</v>
      </c>
      <c r="I53" s="61"/>
    </row>
    <row r="54" spans="1:9">
      <c r="A54" s="60" t="str">
        <f>HLOOKUP(INDICE!$F$2,Nombres!$C$3:$E$874,16)</f>
        <v>Chile</v>
      </c>
      <c r="B54" s="61">
        <v>13612.005134291398</v>
      </c>
      <c r="C54" s="61">
        <v>13751.56121620147</v>
      </c>
      <c r="D54" s="61">
        <v>13914.705133078498</v>
      </c>
      <c r="E54" s="61">
        <v>14070.211429367646</v>
      </c>
      <c r="F54" s="61">
        <v>14196.34000591499</v>
      </c>
      <c r="G54" s="61">
        <v>14465.962478233987</v>
      </c>
      <c r="H54" s="61">
        <v>1995.7659999999996</v>
      </c>
      <c r="I54" s="61"/>
    </row>
    <row r="55" spans="1:9">
      <c r="A55" s="60" t="str">
        <f>HLOOKUP(INDICE!$F$2,Nombres!$C$3:$E$874,17)</f>
        <v>Colombia</v>
      </c>
      <c r="B55" s="61">
        <v>11252.533413708614</v>
      </c>
      <c r="C55" s="61">
        <v>11597.03792833156</v>
      </c>
      <c r="D55" s="61">
        <v>11851.678241070134</v>
      </c>
      <c r="E55" s="61">
        <v>12322.848248692757</v>
      </c>
      <c r="F55" s="61">
        <v>12380.037051723391</v>
      </c>
      <c r="G55" s="61">
        <v>12627.076875137147</v>
      </c>
      <c r="H55" s="61">
        <v>12630.69778144</v>
      </c>
      <c r="I55" s="61"/>
    </row>
    <row r="56" spans="1:9">
      <c r="A56" s="60" t="str">
        <f>HLOOKUP(INDICE!$F$2,Nombres!$C$3:$E$874,18)</f>
        <v>Peru</v>
      </c>
      <c r="B56" s="61">
        <v>12427.003850967963</v>
      </c>
      <c r="C56" s="61">
        <v>12405.400069399613</v>
      </c>
      <c r="D56" s="61">
        <v>13042.020225905831</v>
      </c>
      <c r="E56" s="61">
        <v>13182.358801808246</v>
      </c>
      <c r="F56" s="61">
        <v>13111.553790823191</v>
      </c>
      <c r="G56" s="61">
        <v>13224.809586551684</v>
      </c>
      <c r="H56" s="61">
        <v>13446.572027949998</v>
      </c>
      <c r="I56" s="61"/>
    </row>
    <row r="57" spans="1:9">
      <c r="A57" s="60" t="str">
        <f>HLOOKUP(INDICE!$F$2,Nombres!$C$3:$E$874,389)</f>
        <v>Other</v>
      </c>
      <c r="B57" s="61">
        <v>2762.9183677463425</v>
      </c>
      <c r="C57" s="61">
        <v>2752.7181733692328</v>
      </c>
      <c r="D57" s="61">
        <v>2793.2124698600219</v>
      </c>
      <c r="E57" s="61">
        <v>2794.6750268389851</v>
      </c>
      <c r="F57" s="61">
        <v>3078.5221947182044</v>
      </c>
      <c r="G57" s="61">
        <v>2919.5739902936421</v>
      </c>
      <c r="H57" s="61">
        <v>2966.1402209299999</v>
      </c>
      <c r="I57" s="61"/>
    </row>
    <row r="58" spans="1:9">
      <c r="A58" s="62" t="str">
        <f>HLOOKUP(INDICE!$F$2,Nombres!$C$3:$E$874,390)</f>
        <v>Performing loans under management (*)</v>
      </c>
      <c r="B58" s="62">
        <v>41790.253128792268</v>
      </c>
      <c r="C58" s="62">
        <v>42451.812481031455</v>
      </c>
      <c r="D58" s="62">
        <v>43969.46212922383</v>
      </c>
      <c r="E58" s="62">
        <v>45192.41294131898</v>
      </c>
      <c r="F58" s="62">
        <v>45784.431175426427</v>
      </c>
      <c r="G58" s="62">
        <v>46690.722043949769</v>
      </c>
      <c r="H58" s="62">
        <v>34838.379154900002</v>
      </c>
      <c r="I58" s="62"/>
    </row>
    <row r="59" spans="1:9" ht="15.75">
      <c r="A59" s="56"/>
      <c r="B59" s="63"/>
      <c r="C59" s="63"/>
      <c r="D59" s="63"/>
      <c r="E59" s="63"/>
      <c r="F59" s="63"/>
      <c r="G59" s="63"/>
      <c r="H59" s="63"/>
      <c r="I59" s="63"/>
    </row>
    <row r="60" spans="1:9" ht="15.75">
      <c r="A60" s="64" t="str">
        <f>HLOOKUP(INDICE!$F$2,Nombres!$C$3:$E$874,312)</f>
        <v xml:space="preserve">(*) Excluding repos. </v>
      </c>
      <c r="B60" s="56"/>
      <c r="C60" s="56"/>
      <c r="D60" s="56"/>
      <c r="E60" s="56"/>
      <c r="F60" s="56"/>
      <c r="G60" s="56"/>
      <c r="H60" s="56"/>
      <c r="I60" s="56"/>
    </row>
    <row r="61" spans="1:9" ht="15.75">
      <c r="A61" s="56"/>
      <c r="B61" s="56"/>
      <c r="C61" s="56"/>
      <c r="D61" s="56"/>
      <c r="E61" s="56"/>
      <c r="F61" s="56"/>
      <c r="G61" s="56"/>
      <c r="H61" s="56"/>
      <c r="I61" s="56"/>
    </row>
    <row r="62" spans="1:9" ht="15.75">
      <c r="A62" s="56"/>
      <c r="B62" s="56"/>
      <c r="C62" s="56"/>
      <c r="D62" s="56"/>
      <c r="E62" s="56"/>
      <c r="F62" s="56"/>
      <c r="G62" s="56"/>
      <c r="H62" s="56"/>
      <c r="I62" s="56"/>
    </row>
    <row r="63" spans="1:9" ht="15.75">
      <c r="A63" s="56"/>
      <c r="B63" s="56"/>
      <c r="C63" s="56"/>
      <c r="D63" s="56"/>
      <c r="E63" s="56"/>
      <c r="F63" s="56"/>
      <c r="G63" s="56"/>
      <c r="H63" s="56"/>
      <c r="I63" s="56"/>
    </row>
    <row r="64" spans="1:9" ht="15.75">
      <c r="A64" s="56"/>
      <c r="B64" s="56"/>
      <c r="C64" s="56"/>
      <c r="D64" s="56"/>
      <c r="E64" s="56"/>
      <c r="F64" s="56"/>
      <c r="G64" s="56"/>
      <c r="H64" s="56"/>
      <c r="I64" s="56"/>
    </row>
    <row r="65" spans="1:9" ht="15.75">
      <c r="A65" s="56"/>
      <c r="B65" s="56"/>
      <c r="C65" s="56"/>
      <c r="D65" s="56"/>
      <c r="E65" s="56"/>
      <c r="F65" s="56"/>
      <c r="G65" s="56"/>
      <c r="H65" s="56"/>
      <c r="I65" s="56"/>
    </row>
    <row r="66" spans="1:9" ht="15.75">
      <c r="A66" s="56"/>
      <c r="B66" s="56"/>
      <c r="C66" s="56"/>
      <c r="D66" s="56"/>
      <c r="E66" s="56"/>
      <c r="F66" s="56"/>
      <c r="G66" s="56"/>
      <c r="H66" s="56"/>
      <c r="I66" s="56"/>
    </row>
    <row r="67" spans="1:9" ht="15.75">
      <c r="A67" s="56"/>
      <c r="B67" s="56"/>
      <c r="C67" s="56"/>
      <c r="D67" s="56"/>
      <c r="E67" s="56"/>
      <c r="F67" s="56"/>
      <c r="G67" s="56"/>
      <c r="H67" s="56"/>
      <c r="I67" s="56"/>
    </row>
    <row r="68" spans="1:9" ht="15.75">
      <c r="A68" s="56"/>
      <c r="B68" s="56"/>
      <c r="C68" s="56"/>
      <c r="D68" s="56"/>
      <c r="E68" s="56"/>
      <c r="F68" s="56"/>
      <c r="G68" s="56"/>
      <c r="H68" s="56"/>
      <c r="I68" s="56"/>
    </row>
    <row r="69" spans="1:9" ht="15.75">
      <c r="A69" s="56"/>
      <c r="B69" s="56"/>
      <c r="C69" s="56"/>
      <c r="D69" s="56"/>
      <c r="E69" s="56"/>
      <c r="F69" s="56"/>
      <c r="G69" s="56"/>
      <c r="H69" s="56"/>
      <c r="I69" s="56"/>
    </row>
    <row r="70" spans="1:9" ht="15.75">
      <c r="A70" s="56"/>
      <c r="B70" s="56"/>
      <c r="C70" s="56"/>
      <c r="D70" s="56"/>
      <c r="E70" s="56"/>
      <c r="F70" s="56"/>
      <c r="G70" s="56"/>
      <c r="H70" s="56"/>
      <c r="I70" s="56"/>
    </row>
    <row r="71" spans="1:9" ht="15.75">
      <c r="A71" s="56"/>
      <c r="B71" s="56"/>
      <c r="C71" s="56"/>
      <c r="D71" s="56"/>
      <c r="E71" s="56"/>
      <c r="F71" s="56"/>
      <c r="G71" s="56"/>
      <c r="H71" s="56"/>
      <c r="I71" s="56"/>
    </row>
    <row r="72" spans="1:9" ht="15.75">
      <c r="A72" s="56"/>
      <c r="B72" s="56"/>
      <c r="C72" s="56"/>
      <c r="D72" s="56"/>
      <c r="E72" s="56"/>
      <c r="F72" s="56"/>
      <c r="G72" s="56"/>
      <c r="H72" s="56"/>
      <c r="I72" s="56"/>
    </row>
    <row r="73" spans="1:9" ht="15.75">
      <c r="A73" s="56"/>
      <c r="B73" s="56"/>
      <c r="C73" s="56"/>
      <c r="D73" s="56"/>
      <c r="E73" s="56"/>
      <c r="F73" s="56"/>
      <c r="G73" s="56"/>
      <c r="H73" s="56"/>
      <c r="I73" s="56"/>
    </row>
    <row r="74" spans="1:9" ht="15.75">
      <c r="A74" s="56"/>
      <c r="B74" s="56"/>
      <c r="C74" s="56"/>
      <c r="D74" s="56"/>
      <c r="E74" s="56"/>
      <c r="F74" s="56"/>
      <c r="G74" s="56"/>
      <c r="H74" s="56"/>
      <c r="I74" s="56"/>
    </row>
    <row r="75" spans="1:9" ht="15.75">
      <c r="A75" s="56"/>
      <c r="B75" s="56"/>
      <c r="C75" s="56"/>
      <c r="D75" s="56"/>
      <c r="E75" s="56"/>
      <c r="F75" s="56"/>
      <c r="G75" s="56"/>
      <c r="H75" s="56"/>
      <c r="I75" s="56"/>
    </row>
    <row r="76" spans="1:9" ht="15.75">
      <c r="A76" s="56"/>
      <c r="B76" s="56"/>
      <c r="C76" s="56"/>
      <c r="D76" s="56"/>
      <c r="E76" s="56"/>
      <c r="F76" s="56"/>
      <c r="G76" s="56"/>
      <c r="H76" s="56"/>
      <c r="I76" s="56"/>
    </row>
    <row r="77" spans="1:9" ht="15.75">
      <c r="A77" s="56"/>
      <c r="B77" s="56"/>
      <c r="C77" s="56"/>
      <c r="D77" s="56"/>
      <c r="E77" s="56"/>
      <c r="F77" s="56"/>
      <c r="G77" s="56"/>
      <c r="H77" s="56"/>
      <c r="I77" s="56"/>
    </row>
    <row r="78" spans="1:9" ht="15.75">
      <c r="A78" s="56"/>
      <c r="B78" s="56"/>
      <c r="C78" s="56"/>
      <c r="D78" s="56"/>
      <c r="E78" s="56"/>
      <c r="F78" s="56"/>
      <c r="G78" s="56"/>
      <c r="H78" s="56"/>
      <c r="I78" s="56"/>
    </row>
    <row r="79" spans="1:9" ht="15.75">
      <c r="A79" s="56"/>
      <c r="B79" s="56"/>
      <c r="C79" s="56"/>
      <c r="D79" s="56"/>
      <c r="E79" s="56"/>
      <c r="F79" s="56"/>
      <c r="G79" s="56"/>
      <c r="H79" s="56"/>
      <c r="I79" s="56"/>
    </row>
    <row r="80" spans="1:9" ht="15.75">
      <c r="A80" s="56"/>
      <c r="B80" s="56"/>
      <c r="C80" s="56"/>
      <c r="D80" s="56"/>
      <c r="E80" s="56"/>
      <c r="F80" s="56"/>
      <c r="G80" s="56"/>
      <c r="H80" s="56"/>
      <c r="I80" s="56"/>
    </row>
    <row r="81" spans="1:9" ht="15.75">
      <c r="A81" s="56"/>
      <c r="B81" s="56"/>
      <c r="C81" s="56"/>
      <c r="D81" s="56"/>
      <c r="E81" s="56"/>
      <c r="F81" s="56"/>
      <c r="G81" s="56"/>
      <c r="H81" s="56"/>
      <c r="I81" s="56"/>
    </row>
    <row r="82" spans="1:9" ht="15.75">
      <c r="A82" s="56"/>
      <c r="B82" s="56"/>
      <c r="C82" s="56"/>
      <c r="D82" s="56"/>
      <c r="E82" s="56"/>
      <c r="F82" s="56"/>
      <c r="G82" s="56"/>
      <c r="H82" s="56"/>
      <c r="I82" s="56"/>
    </row>
    <row r="83" spans="1:9" ht="15.75">
      <c r="A83" s="56"/>
      <c r="B83" s="56"/>
      <c r="C83" s="56"/>
      <c r="D83" s="56"/>
      <c r="E83" s="56"/>
      <c r="F83" s="56"/>
      <c r="G83" s="56"/>
      <c r="H83" s="56"/>
      <c r="I83" s="56"/>
    </row>
  </sheetData>
  <mergeCells count="6">
    <mergeCell ref="B51:I51"/>
    <mergeCell ref="B3:I3"/>
    <mergeCell ref="K3:K4"/>
    <mergeCell ref="B15:I15"/>
    <mergeCell ref="B28:I28"/>
    <mergeCell ref="B40:I40"/>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85" zoomScaleNormal="85" workbookViewId="0"/>
  </sheetViews>
  <sheetFormatPr baseColWidth="10" defaultRowHeight="15"/>
  <cols>
    <col min="1" max="1" width="35.7109375" style="54" customWidth="1"/>
    <col min="2" max="2" width="11.28515625" style="54" customWidth="1"/>
    <col min="3" max="3" width="10.28515625" style="54" customWidth="1"/>
    <col min="4" max="4" width="10.42578125" style="54" customWidth="1"/>
    <col min="5" max="5" width="11.5703125" style="54" customWidth="1"/>
    <col min="6" max="6" width="12.85546875" style="54" customWidth="1"/>
    <col min="7" max="8" width="10.85546875" style="54" customWidth="1"/>
    <col min="9" max="255" width="11.42578125" style="54"/>
    <col min="256" max="256" width="35.7109375" style="54" customWidth="1"/>
    <col min="257" max="257" width="11.28515625" style="54" customWidth="1"/>
    <col min="258" max="258" width="10.28515625" style="54" customWidth="1"/>
    <col min="259" max="259" width="10.42578125" style="54" customWidth="1"/>
    <col min="260" max="260" width="11.5703125" style="54" customWidth="1"/>
    <col min="261" max="261" width="12.85546875" style="54" customWidth="1"/>
    <col min="262" max="263" width="10.85546875" style="54" customWidth="1"/>
    <col min="264" max="264" width="11" style="54" customWidth="1"/>
    <col min="265" max="511" width="11.42578125" style="54"/>
    <col min="512" max="512" width="35.7109375" style="54" customWidth="1"/>
    <col min="513" max="513" width="11.28515625" style="54" customWidth="1"/>
    <col min="514" max="514" width="10.28515625" style="54" customWidth="1"/>
    <col min="515" max="515" width="10.42578125" style="54" customWidth="1"/>
    <col min="516" max="516" width="11.5703125" style="54" customWidth="1"/>
    <col min="517" max="517" width="12.85546875" style="54" customWidth="1"/>
    <col min="518" max="519" width="10.85546875" style="54" customWidth="1"/>
    <col min="520" max="520" width="11" style="54" customWidth="1"/>
    <col min="521" max="767" width="11.42578125" style="54"/>
    <col min="768" max="768" width="35.7109375" style="54" customWidth="1"/>
    <col min="769" max="769" width="11.28515625" style="54" customWidth="1"/>
    <col min="770" max="770" width="10.28515625" style="54" customWidth="1"/>
    <col min="771" max="771" width="10.42578125" style="54" customWidth="1"/>
    <col min="772" max="772" width="11.5703125" style="54" customWidth="1"/>
    <col min="773" max="773" width="12.85546875" style="54" customWidth="1"/>
    <col min="774" max="775" width="10.85546875" style="54" customWidth="1"/>
    <col min="776" max="776" width="11" style="54" customWidth="1"/>
    <col min="777" max="1023" width="11.42578125" style="54"/>
    <col min="1024" max="1024" width="35.7109375" style="54" customWidth="1"/>
    <col min="1025" max="1025" width="11.28515625" style="54" customWidth="1"/>
    <col min="1026" max="1026" width="10.28515625" style="54" customWidth="1"/>
    <col min="1027" max="1027" width="10.42578125" style="54" customWidth="1"/>
    <col min="1028" max="1028" width="11.5703125" style="54" customWidth="1"/>
    <col min="1029" max="1029" width="12.85546875" style="54" customWidth="1"/>
    <col min="1030" max="1031" width="10.85546875" style="54" customWidth="1"/>
    <col min="1032" max="1032" width="11" style="54" customWidth="1"/>
    <col min="1033" max="1279" width="11.42578125" style="54"/>
    <col min="1280" max="1280" width="35.7109375" style="54" customWidth="1"/>
    <col min="1281" max="1281" width="11.28515625" style="54" customWidth="1"/>
    <col min="1282" max="1282" width="10.28515625" style="54" customWidth="1"/>
    <col min="1283" max="1283" width="10.42578125" style="54" customWidth="1"/>
    <col min="1284" max="1284" width="11.5703125" style="54" customWidth="1"/>
    <col min="1285" max="1285" width="12.85546875" style="54" customWidth="1"/>
    <col min="1286" max="1287" width="10.85546875" style="54" customWidth="1"/>
    <col min="1288" max="1288" width="11" style="54" customWidth="1"/>
    <col min="1289" max="1535" width="11.42578125" style="54"/>
    <col min="1536" max="1536" width="35.7109375" style="54" customWidth="1"/>
    <col min="1537" max="1537" width="11.28515625" style="54" customWidth="1"/>
    <col min="1538" max="1538" width="10.28515625" style="54" customWidth="1"/>
    <col min="1539" max="1539" width="10.42578125" style="54" customWidth="1"/>
    <col min="1540" max="1540" width="11.5703125" style="54" customWidth="1"/>
    <col min="1541" max="1541" width="12.85546875" style="54" customWidth="1"/>
    <col min="1542" max="1543" width="10.85546875" style="54" customWidth="1"/>
    <col min="1544" max="1544" width="11" style="54" customWidth="1"/>
    <col min="1545" max="1791" width="11.42578125" style="54"/>
    <col min="1792" max="1792" width="35.7109375" style="54" customWidth="1"/>
    <col min="1793" max="1793" width="11.28515625" style="54" customWidth="1"/>
    <col min="1794" max="1794" width="10.28515625" style="54" customWidth="1"/>
    <col min="1795" max="1795" width="10.42578125" style="54" customWidth="1"/>
    <col min="1796" max="1796" width="11.5703125" style="54" customWidth="1"/>
    <col min="1797" max="1797" width="12.85546875" style="54" customWidth="1"/>
    <col min="1798" max="1799" width="10.85546875" style="54" customWidth="1"/>
    <col min="1800" max="1800" width="11" style="54" customWidth="1"/>
    <col min="1801" max="2047" width="11.42578125" style="54"/>
    <col min="2048" max="2048" width="35.7109375" style="54" customWidth="1"/>
    <col min="2049" max="2049" width="11.28515625" style="54" customWidth="1"/>
    <col min="2050" max="2050" width="10.28515625" style="54" customWidth="1"/>
    <col min="2051" max="2051" width="10.42578125" style="54" customWidth="1"/>
    <col min="2052" max="2052" width="11.5703125" style="54" customWidth="1"/>
    <col min="2053" max="2053" width="12.85546875" style="54" customWidth="1"/>
    <col min="2054" max="2055" width="10.85546875" style="54" customWidth="1"/>
    <col min="2056" max="2056" width="11" style="54" customWidth="1"/>
    <col min="2057" max="2303" width="11.42578125" style="54"/>
    <col min="2304" max="2304" width="35.7109375" style="54" customWidth="1"/>
    <col min="2305" max="2305" width="11.28515625" style="54" customWidth="1"/>
    <col min="2306" max="2306" width="10.28515625" style="54" customWidth="1"/>
    <col min="2307" max="2307" width="10.42578125" style="54" customWidth="1"/>
    <col min="2308" max="2308" width="11.5703125" style="54" customWidth="1"/>
    <col min="2309" max="2309" width="12.85546875" style="54" customWidth="1"/>
    <col min="2310" max="2311" width="10.85546875" style="54" customWidth="1"/>
    <col min="2312" max="2312" width="11" style="54" customWidth="1"/>
    <col min="2313" max="2559" width="11.42578125" style="54"/>
    <col min="2560" max="2560" width="35.7109375" style="54" customWidth="1"/>
    <col min="2561" max="2561" width="11.28515625" style="54" customWidth="1"/>
    <col min="2562" max="2562" width="10.28515625" style="54" customWidth="1"/>
    <col min="2563" max="2563" width="10.42578125" style="54" customWidth="1"/>
    <col min="2564" max="2564" width="11.5703125" style="54" customWidth="1"/>
    <col min="2565" max="2565" width="12.85546875" style="54" customWidth="1"/>
    <col min="2566" max="2567" width="10.85546875" style="54" customWidth="1"/>
    <col min="2568" max="2568" width="11" style="54" customWidth="1"/>
    <col min="2569" max="2815" width="11.42578125" style="54"/>
    <col min="2816" max="2816" width="35.7109375" style="54" customWidth="1"/>
    <col min="2817" max="2817" width="11.28515625" style="54" customWidth="1"/>
    <col min="2818" max="2818" width="10.28515625" style="54" customWidth="1"/>
    <col min="2819" max="2819" width="10.42578125" style="54" customWidth="1"/>
    <col min="2820" max="2820" width="11.5703125" style="54" customWidth="1"/>
    <col min="2821" max="2821" width="12.85546875" style="54" customWidth="1"/>
    <col min="2822" max="2823" width="10.85546875" style="54" customWidth="1"/>
    <col min="2824" max="2824" width="11" style="54" customWidth="1"/>
    <col min="2825" max="3071" width="11.42578125" style="54"/>
    <col min="3072" max="3072" width="35.7109375" style="54" customWidth="1"/>
    <col min="3073" max="3073" width="11.28515625" style="54" customWidth="1"/>
    <col min="3074" max="3074" width="10.28515625" style="54" customWidth="1"/>
    <col min="3075" max="3075" width="10.42578125" style="54" customWidth="1"/>
    <col min="3076" max="3076" width="11.5703125" style="54" customWidth="1"/>
    <col min="3077" max="3077" width="12.85546875" style="54" customWidth="1"/>
    <col min="3078" max="3079" width="10.85546875" style="54" customWidth="1"/>
    <col min="3080" max="3080" width="11" style="54" customWidth="1"/>
    <col min="3081" max="3327" width="11.42578125" style="54"/>
    <col min="3328" max="3328" width="35.7109375" style="54" customWidth="1"/>
    <col min="3329" max="3329" width="11.28515625" style="54" customWidth="1"/>
    <col min="3330" max="3330" width="10.28515625" style="54" customWidth="1"/>
    <col min="3331" max="3331" width="10.42578125" style="54" customWidth="1"/>
    <col min="3332" max="3332" width="11.5703125" style="54" customWidth="1"/>
    <col min="3333" max="3333" width="12.85546875" style="54" customWidth="1"/>
    <col min="3334" max="3335" width="10.85546875" style="54" customWidth="1"/>
    <col min="3336" max="3336" width="11" style="54" customWidth="1"/>
    <col min="3337" max="3583" width="11.42578125" style="54"/>
    <col min="3584" max="3584" width="35.7109375" style="54" customWidth="1"/>
    <col min="3585" max="3585" width="11.28515625" style="54" customWidth="1"/>
    <col min="3586" max="3586" width="10.28515625" style="54" customWidth="1"/>
    <col min="3587" max="3587" width="10.42578125" style="54" customWidth="1"/>
    <col min="3588" max="3588" width="11.5703125" style="54" customWidth="1"/>
    <col min="3589" max="3589" width="12.85546875" style="54" customWidth="1"/>
    <col min="3590" max="3591" width="10.85546875" style="54" customWidth="1"/>
    <col min="3592" max="3592" width="11" style="54" customWidth="1"/>
    <col min="3593" max="3839" width="11.42578125" style="54"/>
    <col min="3840" max="3840" width="35.7109375" style="54" customWidth="1"/>
    <col min="3841" max="3841" width="11.28515625" style="54" customWidth="1"/>
    <col min="3842" max="3842" width="10.28515625" style="54" customWidth="1"/>
    <col min="3843" max="3843" width="10.42578125" style="54" customWidth="1"/>
    <col min="3844" max="3844" width="11.5703125" style="54" customWidth="1"/>
    <col min="3845" max="3845" width="12.85546875" style="54" customWidth="1"/>
    <col min="3846" max="3847" width="10.85546875" style="54" customWidth="1"/>
    <col min="3848" max="3848" width="11" style="54" customWidth="1"/>
    <col min="3849" max="4095" width="11.42578125" style="54"/>
    <col min="4096" max="4096" width="35.7109375" style="54" customWidth="1"/>
    <col min="4097" max="4097" width="11.28515625" style="54" customWidth="1"/>
    <col min="4098" max="4098" width="10.28515625" style="54" customWidth="1"/>
    <col min="4099" max="4099" width="10.42578125" style="54" customWidth="1"/>
    <col min="4100" max="4100" width="11.5703125" style="54" customWidth="1"/>
    <col min="4101" max="4101" width="12.85546875" style="54" customWidth="1"/>
    <col min="4102" max="4103" width="10.85546875" style="54" customWidth="1"/>
    <col min="4104" max="4104" width="11" style="54" customWidth="1"/>
    <col min="4105" max="4351" width="11.42578125" style="54"/>
    <col min="4352" max="4352" width="35.7109375" style="54" customWidth="1"/>
    <col min="4353" max="4353" width="11.28515625" style="54" customWidth="1"/>
    <col min="4354" max="4354" width="10.28515625" style="54" customWidth="1"/>
    <col min="4355" max="4355" width="10.42578125" style="54" customWidth="1"/>
    <col min="4356" max="4356" width="11.5703125" style="54" customWidth="1"/>
    <col min="4357" max="4357" width="12.85546875" style="54" customWidth="1"/>
    <col min="4358" max="4359" width="10.85546875" style="54" customWidth="1"/>
    <col min="4360" max="4360" width="11" style="54" customWidth="1"/>
    <col min="4361" max="4607" width="11.42578125" style="54"/>
    <col min="4608" max="4608" width="35.7109375" style="54" customWidth="1"/>
    <col min="4609" max="4609" width="11.28515625" style="54" customWidth="1"/>
    <col min="4610" max="4610" width="10.28515625" style="54" customWidth="1"/>
    <col min="4611" max="4611" width="10.42578125" style="54" customWidth="1"/>
    <col min="4612" max="4612" width="11.5703125" style="54" customWidth="1"/>
    <col min="4613" max="4613" width="12.85546875" style="54" customWidth="1"/>
    <col min="4614" max="4615" width="10.85546875" style="54" customWidth="1"/>
    <col min="4616" max="4616" width="11" style="54" customWidth="1"/>
    <col min="4617" max="4863" width="11.42578125" style="54"/>
    <col min="4864" max="4864" width="35.7109375" style="54" customWidth="1"/>
    <col min="4865" max="4865" width="11.28515625" style="54" customWidth="1"/>
    <col min="4866" max="4866" width="10.28515625" style="54" customWidth="1"/>
    <col min="4867" max="4867" width="10.42578125" style="54" customWidth="1"/>
    <col min="4868" max="4868" width="11.5703125" style="54" customWidth="1"/>
    <col min="4869" max="4869" width="12.85546875" style="54" customWidth="1"/>
    <col min="4870" max="4871" width="10.85546875" style="54" customWidth="1"/>
    <col min="4872" max="4872" width="11" style="54" customWidth="1"/>
    <col min="4873" max="5119" width="11.42578125" style="54"/>
    <col min="5120" max="5120" width="35.7109375" style="54" customWidth="1"/>
    <col min="5121" max="5121" width="11.28515625" style="54" customWidth="1"/>
    <col min="5122" max="5122" width="10.28515625" style="54" customWidth="1"/>
    <col min="5123" max="5123" width="10.42578125" style="54" customWidth="1"/>
    <col min="5124" max="5124" width="11.5703125" style="54" customWidth="1"/>
    <col min="5125" max="5125" width="12.85546875" style="54" customWidth="1"/>
    <col min="5126" max="5127" width="10.85546875" style="54" customWidth="1"/>
    <col min="5128" max="5128" width="11" style="54" customWidth="1"/>
    <col min="5129" max="5375" width="11.42578125" style="54"/>
    <col min="5376" max="5376" width="35.7109375" style="54" customWidth="1"/>
    <col min="5377" max="5377" width="11.28515625" style="54" customWidth="1"/>
    <col min="5378" max="5378" width="10.28515625" style="54" customWidth="1"/>
    <col min="5379" max="5379" width="10.42578125" style="54" customWidth="1"/>
    <col min="5380" max="5380" width="11.5703125" style="54" customWidth="1"/>
    <col min="5381" max="5381" width="12.85546875" style="54" customWidth="1"/>
    <col min="5382" max="5383" width="10.85546875" style="54" customWidth="1"/>
    <col min="5384" max="5384" width="11" style="54" customWidth="1"/>
    <col min="5385" max="5631" width="11.42578125" style="54"/>
    <col min="5632" max="5632" width="35.7109375" style="54" customWidth="1"/>
    <col min="5633" max="5633" width="11.28515625" style="54" customWidth="1"/>
    <col min="5634" max="5634" width="10.28515625" style="54" customWidth="1"/>
    <col min="5635" max="5635" width="10.42578125" style="54" customWidth="1"/>
    <col min="5636" max="5636" width="11.5703125" style="54" customWidth="1"/>
    <col min="5637" max="5637" width="12.85546875" style="54" customWidth="1"/>
    <col min="5638" max="5639" width="10.85546875" style="54" customWidth="1"/>
    <col min="5640" max="5640" width="11" style="54" customWidth="1"/>
    <col min="5641" max="5887" width="11.42578125" style="54"/>
    <col min="5888" max="5888" width="35.7109375" style="54" customWidth="1"/>
    <col min="5889" max="5889" width="11.28515625" style="54" customWidth="1"/>
    <col min="5890" max="5890" width="10.28515625" style="54" customWidth="1"/>
    <col min="5891" max="5891" width="10.42578125" style="54" customWidth="1"/>
    <col min="5892" max="5892" width="11.5703125" style="54" customWidth="1"/>
    <col min="5893" max="5893" width="12.85546875" style="54" customWidth="1"/>
    <col min="5894" max="5895" width="10.85546875" style="54" customWidth="1"/>
    <col min="5896" max="5896" width="11" style="54" customWidth="1"/>
    <col min="5897" max="6143" width="11.42578125" style="54"/>
    <col min="6144" max="6144" width="35.7109375" style="54" customWidth="1"/>
    <col min="6145" max="6145" width="11.28515625" style="54" customWidth="1"/>
    <col min="6146" max="6146" width="10.28515625" style="54" customWidth="1"/>
    <col min="6147" max="6147" width="10.42578125" style="54" customWidth="1"/>
    <col min="6148" max="6148" width="11.5703125" style="54" customWidth="1"/>
    <col min="6149" max="6149" width="12.85546875" style="54" customWidth="1"/>
    <col min="6150" max="6151" width="10.85546875" style="54" customWidth="1"/>
    <col min="6152" max="6152" width="11" style="54" customWidth="1"/>
    <col min="6153" max="6399" width="11.42578125" style="54"/>
    <col min="6400" max="6400" width="35.7109375" style="54" customWidth="1"/>
    <col min="6401" max="6401" width="11.28515625" style="54" customWidth="1"/>
    <col min="6402" max="6402" width="10.28515625" style="54" customWidth="1"/>
    <col min="6403" max="6403" width="10.42578125" style="54" customWidth="1"/>
    <col min="6404" max="6404" width="11.5703125" style="54" customWidth="1"/>
    <col min="6405" max="6405" width="12.85546875" style="54" customWidth="1"/>
    <col min="6406" max="6407" width="10.85546875" style="54" customWidth="1"/>
    <col min="6408" max="6408" width="11" style="54" customWidth="1"/>
    <col min="6409" max="6655" width="11.42578125" style="54"/>
    <col min="6656" max="6656" width="35.7109375" style="54" customWidth="1"/>
    <col min="6657" max="6657" width="11.28515625" style="54" customWidth="1"/>
    <col min="6658" max="6658" width="10.28515625" style="54" customWidth="1"/>
    <col min="6659" max="6659" width="10.42578125" style="54" customWidth="1"/>
    <col min="6660" max="6660" width="11.5703125" style="54" customWidth="1"/>
    <col min="6661" max="6661" width="12.85546875" style="54" customWidth="1"/>
    <col min="6662" max="6663" width="10.85546875" style="54" customWidth="1"/>
    <col min="6664" max="6664" width="11" style="54" customWidth="1"/>
    <col min="6665" max="6911" width="11.42578125" style="54"/>
    <col min="6912" max="6912" width="35.7109375" style="54" customWidth="1"/>
    <col min="6913" max="6913" width="11.28515625" style="54" customWidth="1"/>
    <col min="6914" max="6914" width="10.28515625" style="54" customWidth="1"/>
    <col min="6915" max="6915" width="10.42578125" style="54" customWidth="1"/>
    <col min="6916" max="6916" width="11.5703125" style="54" customWidth="1"/>
    <col min="6917" max="6917" width="12.85546875" style="54" customWidth="1"/>
    <col min="6918" max="6919" width="10.85546875" style="54" customWidth="1"/>
    <col min="6920" max="6920" width="11" style="54" customWidth="1"/>
    <col min="6921" max="7167" width="11.42578125" style="54"/>
    <col min="7168" max="7168" width="35.7109375" style="54" customWidth="1"/>
    <col min="7169" max="7169" width="11.28515625" style="54" customWidth="1"/>
    <col min="7170" max="7170" width="10.28515625" style="54" customWidth="1"/>
    <col min="7171" max="7171" width="10.42578125" style="54" customWidth="1"/>
    <col min="7172" max="7172" width="11.5703125" style="54" customWidth="1"/>
    <col min="7173" max="7173" width="12.85546875" style="54" customWidth="1"/>
    <col min="7174" max="7175" width="10.85546875" style="54" customWidth="1"/>
    <col min="7176" max="7176" width="11" style="54" customWidth="1"/>
    <col min="7177" max="7423" width="11.42578125" style="54"/>
    <col min="7424" max="7424" width="35.7109375" style="54" customWidth="1"/>
    <col min="7425" max="7425" width="11.28515625" style="54" customWidth="1"/>
    <col min="7426" max="7426" width="10.28515625" style="54" customWidth="1"/>
    <col min="7427" max="7427" width="10.42578125" style="54" customWidth="1"/>
    <col min="7428" max="7428" width="11.5703125" style="54" customWidth="1"/>
    <col min="7429" max="7429" width="12.85546875" style="54" customWidth="1"/>
    <col min="7430" max="7431" width="10.85546875" style="54" customWidth="1"/>
    <col min="7432" max="7432" width="11" style="54" customWidth="1"/>
    <col min="7433" max="7679" width="11.42578125" style="54"/>
    <col min="7680" max="7680" width="35.7109375" style="54" customWidth="1"/>
    <col min="7681" max="7681" width="11.28515625" style="54" customWidth="1"/>
    <col min="7682" max="7682" width="10.28515625" style="54" customWidth="1"/>
    <col min="7683" max="7683" width="10.42578125" style="54" customWidth="1"/>
    <col min="7684" max="7684" width="11.5703125" style="54" customWidth="1"/>
    <col min="7685" max="7685" width="12.85546875" style="54" customWidth="1"/>
    <col min="7686" max="7687" width="10.85546875" style="54" customWidth="1"/>
    <col min="7688" max="7688" width="11" style="54" customWidth="1"/>
    <col min="7689" max="7935" width="11.42578125" style="54"/>
    <col min="7936" max="7936" width="35.7109375" style="54" customWidth="1"/>
    <col min="7937" max="7937" width="11.28515625" style="54" customWidth="1"/>
    <col min="7938" max="7938" width="10.28515625" style="54" customWidth="1"/>
    <col min="7939" max="7939" width="10.42578125" style="54" customWidth="1"/>
    <col min="7940" max="7940" width="11.5703125" style="54" customWidth="1"/>
    <col min="7941" max="7941" width="12.85546875" style="54" customWidth="1"/>
    <col min="7942" max="7943" width="10.85546875" style="54" customWidth="1"/>
    <col min="7944" max="7944" width="11" style="54" customWidth="1"/>
    <col min="7945" max="8191" width="11.42578125" style="54"/>
    <col min="8192" max="8192" width="35.7109375" style="54" customWidth="1"/>
    <col min="8193" max="8193" width="11.28515625" style="54" customWidth="1"/>
    <col min="8194" max="8194" width="10.28515625" style="54" customWidth="1"/>
    <col min="8195" max="8195" width="10.42578125" style="54" customWidth="1"/>
    <col min="8196" max="8196" width="11.5703125" style="54" customWidth="1"/>
    <col min="8197" max="8197" width="12.85546875" style="54" customWidth="1"/>
    <col min="8198" max="8199" width="10.85546875" style="54" customWidth="1"/>
    <col min="8200" max="8200" width="11" style="54" customWidth="1"/>
    <col min="8201" max="8447" width="11.42578125" style="54"/>
    <col min="8448" max="8448" width="35.7109375" style="54" customWidth="1"/>
    <col min="8449" max="8449" width="11.28515625" style="54" customWidth="1"/>
    <col min="8450" max="8450" width="10.28515625" style="54" customWidth="1"/>
    <col min="8451" max="8451" width="10.42578125" style="54" customWidth="1"/>
    <col min="8452" max="8452" width="11.5703125" style="54" customWidth="1"/>
    <col min="8453" max="8453" width="12.85546875" style="54" customWidth="1"/>
    <col min="8454" max="8455" width="10.85546875" style="54" customWidth="1"/>
    <col min="8456" max="8456" width="11" style="54" customWidth="1"/>
    <col min="8457" max="8703" width="11.42578125" style="54"/>
    <col min="8704" max="8704" width="35.7109375" style="54" customWidth="1"/>
    <col min="8705" max="8705" width="11.28515625" style="54" customWidth="1"/>
    <col min="8706" max="8706" width="10.28515625" style="54" customWidth="1"/>
    <col min="8707" max="8707" width="10.42578125" style="54" customWidth="1"/>
    <col min="8708" max="8708" width="11.5703125" style="54" customWidth="1"/>
    <col min="8709" max="8709" width="12.85546875" style="54" customWidth="1"/>
    <col min="8710" max="8711" width="10.85546875" style="54" customWidth="1"/>
    <col min="8712" max="8712" width="11" style="54" customWidth="1"/>
    <col min="8713" max="8959" width="11.42578125" style="54"/>
    <col min="8960" max="8960" width="35.7109375" style="54" customWidth="1"/>
    <col min="8961" max="8961" width="11.28515625" style="54" customWidth="1"/>
    <col min="8962" max="8962" width="10.28515625" style="54" customWidth="1"/>
    <col min="8963" max="8963" width="10.42578125" style="54" customWidth="1"/>
    <col min="8964" max="8964" width="11.5703125" style="54" customWidth="1"/>
    <col min="8965" max="8965" width="12.85546875" style="54" customWidth="1"/>
    <col min="8966" max="8967" width="10.85546875" style="54" customWidth="1"/>
    <col min="8968" max="8968" width="11" style="54" customWidth="1"/>
    <col min="8969" max="9215" width="11.42578125" style="54"/>
    <col min="9216" max="9216" width="35.7109375" style="54" customWidth="1"/>
    <col min="9217" max="9217" width="11.28515625" style="54" customWidth="1"/>
    <col min="9218" max="9218" width="10.28515625" style="54" customWidth="1"/>
    <col min="9219" max="9219" width="10.42578125" style="54" customWidth="1"/>
    <col min="9220" max="9220" width="11.5703125" style="54" customWidth="1"/>
    <col min="9221" max="9221" width="12.85546875" style="54" customWidth="1"/>
    <col min="9222" max="9223" width="10.85546875" style="54" customWidth="1"/>
    <col min="9224" max="9224" width="11" style="54" customWidth="1"/>
    <col min="9225" max="9471" width="11.42578125" style="54"/>
    <col min="9472" max="9472" width="35.7109375" style="54" customWidth="1"/>
    <col min="9473" max="9473" width="11.28515625" style="54" customWidth="1"/>
    <col min="9474" max="9474" width="10.28515625" style="54" customWidth="1"/>
    <col min="9475" max="9475" width="10.42578125" style="54" customWidth="1"/>
    <col min="9476" max="9476" width="11.5703125" style="54" customWidth="1"/>
    <col min="9477" max="9477" width="12.85546875" style="54" customWidth="1"/>
    <col min="9478" max="9479" width="10.85546875" style="54" customWidth="1"/>
    <col min="9480" max="9480" width="11" style="54" customWidth="1"/>
    <col min="9481" max="9727" width="11.42578125" style="54"/>
    <col min="9728" max="9728" width="35.7109375" style="54" customWidth="1"/>
    <col min="9729" max="9729" width="11.28515625" style="54" customWidth="1"/>
    <col min="9730" max="9730" width="10.28515625" style="54" customWidth="1"/>
    <col min="9731" max="9731" width="10.42578125" style="54" customWidth="1"/>
    <col min="9732" max="9732" width="11.5703125" style="54" customWidth="1"/>
    <col min="9733" max="9733" width="12.85546875" style="54" customWidth="1"/>
    <col min="9734" max="9735" width="10.85546875" style="54" customWidth="1"/>
    <col min="9736" max="9736" width="11" style="54" customWidth="1"/>
    <col min="9737" max="9983" width="11.42578125" style="54"/>
    <col min="9984" max="9984" width="35.7109375" style="54" customWidth="1"/>
    <col min="9985" max="9985" width="11.28515625" style="54" customWidth="1"/>
    <col min="9986" max="9986" width="10.28515625" style="54" customWidth="1"/>
    <col min="9987" max="9987" width="10.42578125" style="54" customWidth="1"/>
    <col min="9988" max="9988" width="11.5703125" style="54" customWidth="1"/>
    <col min="9989" max="9989" width="12.85546875" style="54" customWidth="1"/>
    <col min="9990" max="9991" width="10.85546875" style="54" customWidth="1"/>
    <col min="9992" max="9992" width="11" style="54" customWidth="1"/>
    <col min="9993" max="10239" width="11.42578125" style="54"/>
    <col min="10240" max="10240" width="35.7109375" style="54" customWidth="1"/>
    <col min="10241" max="10241" width="11.28515625" style="54" customWidth="1"/>
    <col min="10242" max="10242" width="10.28515625" style="54" customWidth="1"/>
    <col min="10243" max="10243" width="10.42578125" style="54" customWidth="1"/>
    <col min="10244" max="10244" width="11.5703125" style="54" customWidth="1"/>
    <col min="10245" max="10245" width="12.85546875" style="54" customWidth="1"/>
    <col min="10246" max="10247" width="10.85546875" style="54" customWidth="1"/>
    <col min="10248" max="10248" width="11" style="54" customWidth="1"/>
    <col min="10249" max="10495" width="11.42578125" style="54"/>
    <col min="10496" max="10496" width="35.7109375" style="54" customWidth="1"/>
    <col min="10497" max="10497" width="11.28515625" style="54" customWidth="1"/>
    <col min="10498" max="10498" width="10.28515625" style="54" customWidth="1"/>
    <col min="10499" max="10499" width="10.42578125" style="54" customWidth="1"/>
    <col min="10500" max="10500" width="11.5703125" style="54" customWidth="1"/>
    <col min="10501" max="10501" width="12.85546875" style="54" customWidth="1"/>
    <col min="10502" max="10503" width="10.85546875" style="54" customWidth="1"/>
    <col min="10504" max="10504" width="11" style="54" customWidth="1"/>
    <col min="10505" max="10751" width="11.42578125" style="54"/>
    <col min="10752" max="10752" width="35.7109375" style="54" customWidth="1"/>
    <col min="10753" max="10753" width="11.28515625" style="54" customWidth="1"/>
    <col min="10754" max="10754" width="10.28515625" style="54" customWidth="1"/>
    <col min="10755" max="10755" width="10.42578125" style="54" customWidth="1"/>
    <col min="10756" max="10756" width="11.5703125" style="54" customWidth="1"/>
    <col min="10757" max="10757" width="12.85546875" style="54" customWidth="1"/>
    <col min="10758" max="10759" width="10.85546875" style="54" customWidth="1"/>
    <col min="10760" max="10760" width="11" style="54" customWidth="1"/>
    <col min="10761" max="11007" width="11.42578125" style="54"/>
    <col min="11008" max="11008" width="35.7109375" style="54" customWidth="1"/>
    <col min="11009" max="11009" width="11.28515625" style="54" customWidth="1"/>
    <col min="11010" max="11010" width="10.28515625" style="54" customWidth="1"/>
    <col min="11011" max="11011" width="10.42578125" style="54" customWidth="1"/>
    <col min="11012" max="11012" width="11.5703125" style="54" customWidth="1"/>
    <col min="11013" max="11013" width="12.85546875" style="54" customWidth="1"/>
    <col min="11014" max="11015" width="10.85546875" style="54" customWidth="1"/>
    <col min="11016" max="11016" width="11" style="54" customWidth="1"/>
    <col min="11017" max="11263" width="11.42578125" style="54"/>
    <col min="11264" max="11264" width="35.7109375" style="54" customWidth="1"/>
    <col min="11265" max="11265" width="11.28515625" style="54" customWidth="1"/>
    <col min="11266" max="11266" width="10.28515625" style="54" customWidth="1"/>
    <col min="11267" max="11267" width="10.42578125" style="54" customWidth="1"/>
    <col min="11268" max="11268" width="11.5703125" style="54" customWidth="1"/>
    <col min="11269" max="11269" width="12.85546875" style="54" customWidth="1"/>
    <col min="11270" max="11271" width="10.85546875" style="54" customWidth="1"/>
    <col min="11272" max="11272" width="11" style="54" customWidth="1"/>
    <col min="11273" max="11519" width="11.42578125" style="54"/>
    <col min="11520" max="11520" width="35.7109375" style="54" customWidth="1"/>
    <col min="11521" max="11521" width="11.28515625" style="54" customWidth="1"/>
    <col min="11522" max="11522" width="10.28515625" style="54" customWidth="1"/>
    <col min="11523" max="11523" width="10.42578125" style="54" customWidth="1"/>
    <col min="11524" max="11524" width="11.5703125" style="54" customWidth="1"/>
    <col min="11525" max="11525" width="12.85546875" style="54" customWidth="1"/>
    <col min="11526" max="11527" width="10.85546875" style="54" customWidth="1"/>
    <col min="11528" max="11528" width="11" style="54" customWidth="1"/>
    <col min="11529" max="11775" width="11.42578125" style="54"/>
    <col min="11776" max="11776" width="35.7109375" style="54" customWidth="1"/>
    <col min="11777" max="11777" width="11.28515625" style="54" customWidth="1"/>
    <col min="11778" max="11778" width="10.28515625" style="54" customWidth="1"/>
    <col min="11779" max="11779" width="10.42578125" style="54" customWidth="1"/>
    <col min="11780" max="11780" width="11.5703125" style="54" customWidth="1"/>
    <col min="11781" max="11781" width="12.85546875" style="54" customWidth="1"/>
    <col min="11782" max="11783" width="10.85546875" style="54" customWidth="1"/>
    <col min="11784" max="11784" width="11" style="54" customWidth="1"/>
    <col min="11785" max="12031" width="11.42578125" style="54"/>
    <col min="12032" max="12032" width="35.7109375" style="54" customWidth="1"/>
    <col min="12033" max="12033" width="11.28515625" style="54" customWidth="1"/>
    <col min="12034" max="12034" width="10.28515625" style="54" customWidth="1"/>
    <col min="12035" max="12035" width="10.42578125" style="54" customWidth="1"/>
    <col min="12036" max="12036" width="11.5703125" style="54" customWidth="1"/>
    <col min="12037" max="12037" width="12.85546875" style="54" customWidth="1"/>
    <col min="12038" max="12039" width="10.85546875" style="54" customWidth="1"/>
    <col min="12040" max="12040" width="11" style="54" customWidth="1"/>
    <col min="12041" max="12287" width="11.42578125" style="54"/>
    <col min="12288" max="12288" width="35.7109375" style="54" customWidth="1"/>
    <col min="12289" max="12289" width="11.28515625" style="54" customWidth="1"/>
    <col min="12290" max="12290" width="10.28515625" style="54" customWidth="1"/>
    <col min="12291" max="12291" width="10.42578125" style="54" customWidth="1"/>
    <col min="12292" max="12292" width="11.5703125" style="54" customWidth="1"/>
    <col min="12293" max="12293" width="12.85546875" style="54" customWidth="1"/>
    <col min="12294" max="12295" width="10.85546875" style="54" customWidth="1"/>
    <col min="12296" max="12296" width="11" style="54" customWidth="1"/>
    <col min="12297" max="12543" width="11.42578125" style="54"/>
    <col min="12544" max="12544" width="35.7109375" style="54" customWidth="1"/>
    <col min="12545" max="12545" width="11.28515625" style="54" customWidth="1"/>
    <col min="12546" max="12546" width="10.28515625" style="54" customWidth="1"/>
    <col min="12547" max="12547" width="10.42578125" style="54" customWidth="1"/>
    <col min="12548" max="12548" width="11.5703125" style="54" customWidth="1"/>
    <col min="12549" max="12549" width="12.85546875" style="54" customWidth="1"/>
    <col min="12550" max="12551" width="10.85546875" style="54" customWidth="1"/>
    <col min="12552" max="12552" width="11" style="54" customWidth="1"/>
    <col min="12553" max="12799" width="11.42578125" style="54"/>
    <col min="12800" max="12800" width="35.7109375" style="54" customWidth="1"/>
    <col min="12801" max="12801" width="11.28515625" style="54" customWidth="1"/>
    <col min="12802" max="12802" width="10.28515625" style="54" customWidth="1"/>
    <col min="12803" max="12803" width="10.42578125" style="54" customWidth="1"/>
    <col min="12804" max="12804" width="11.5703125" style="54" customWidth="1"/>
    <col min="12805" max="12805" width="12.85546875" style="54" customWidth="1"/>
    <col min="12806" max="12807" width="10.85546875" style="54" customWidth="1"/>
    <col min="12808" max="12808" width="11" style="54" customWidth="1"/>
    <col min="12809" max="13055" width="11.42578125" style="54"/>
    <col min="13056" max="13056" width="35.7109375" style="54" customWidth="1"/>
    <col min="13057" max="13057" width="11.28515625" style="54" customWidth="1"/>
    <col min="13058" max="13058" width="10.28515625" style="54" customWidth="1"/>
    <col min="13059" max="13059" width="10.42578125" style="54" customWidth="1"/>
    <col min="13060" max="13060" width="11.5703125" style="54" customWidth="1"/>
    <col min="13061" max="13061" width="12.85546875" style="54" customWidth="1"/>
    <col min="13062" max="13063" width="10.85546875" style="54" customWidth="1"/>
    <col min="13064" max="13064" width="11" style="54" customWidth="1"/>
    <col min="13065" max="13311" width="11.42578125" style="54"/>
    <col min="13312" max="13312" width="35.7109375" style="54" customWidth="1"/>
    <col min="13313" max="13313" width="11.28515625" style="54" customWidth="1"/>
    <col min="13314" max="13314" width="10.28515625" style="54" customWidth="1"/>
    <col min="13315" max="13315" width="10.42578125" style="54" customWidth="1"/>
    <col min="13316" max="13316" width="11.5703125" style="54" customWidth="1"/>
    <col min="13317" max="13317" width="12.85546875" style="54" customWidth="1"/>
    <col min="13318" max="13319" width="10.85546875" style="54" customWidth="1"/>
    <col min="13320" max="13320" width="11" style="54" customWidth="1"/>
    <col min="13321" max="13567" width="11.42578125" style="54"/>
    <col min="13568" max="13568" width="35.7109375" style="54" customWidth="1"/>
    <col min="13569" max="13569" width="11.28515625" style="54" customWidth="1"/>
    <col min="13570" max="13570" width="10.28515625" style="54" customWidth="1"/>
    <col min="13571" max="13571" width="10.42578125" style="54" customWidth="1"/>
    <col min="13572" max="13572" width="11.5703125" style="54" customWidth="1"/>
    <col min="13573" max="13573" width="12.85546875" style="54" customWidth="1"/>
    <col min="13574" max="13575" width="10.85546875" style="54" customWidth="1"/>
    <col min="13576" max="13576" width="11" style="54" customWidth="1"/>
    <col min="13577" max="13823" width="11.42578125" style="54"/>
    <col min="13824" max="13824" width="35.7109375" style="54" customWidth="1"/>
    <col min="13825" max="13825" width="11.28515625" style="54" customWidth="1"/>
    <col min="13826" max="13826" width="10.28515625" style="54" customWidth="1"/>
    <col min="13827" max="13827" width="10.42578125" style="54" customWidth="1"/>
    <col min="13828" max="13828" width="11.5703125" style="54" customWidth="1"/>
    <col min="13829" max="13829" width="12.85546875" style="54" customWidth="1"/>
    <col min="13830" max="13831" width="10.85546875" style="54" customWidth="1"/>
    <col min="13832" max="13832" width="11" style="54" customWidth="1"/>
    <col min="13833" max="14079" width="11.42578125" style="54"/>
    <col min="14080" max="14080" width="35.7109375" style="54" customWidth="1"/>
    <col min="14081" max="14081" width="11.28515625" style="54" customWidth="1"/>
    <col min="14082" max="14082" width="10.28515625" style="54" customWidth="1"/>
    <col min="14083" max="14083" width="10.42578125" style="54" customWidth="1"/>
    <col min="14084" max="14084" width="11.5703125" style="54" customWidth="1"/>
    <col min="14085" max="14085" width="12.85546875" style="54" customWidth="1"/>
    <col min="14086" max="14087" width="10.85546875" style="54" customWidth="1"/>
    <col min="14088" max="14088" width="11" style="54" customWidth="1"/>
    <col min="14089" max="14335" width="11.42578125" style="54"/>
    <col min="14336" max="14336" width="35.7109375" style="54" customWidth="1"/>
    <col min="14337" max="14337" width="11.28515625" style="54" customWidth="1"/>
    <col min="14338" max="14338" width="10.28515625" style="54" customWidth="1"/>
    <col min="14339" max="14339" width="10.42578125" style="54" customWidth="1"/>
    <col min="14340" max="14340" width="11.5703125" style="54" customWidth="1"/>
    <col min="14341" max="14341" width="12.85546875" style="54" customWidth="1"/>
    <col min="14342" max="14343" width="10.85546875" style="54" customWidth="1"/>
    <col min="14344" max="14344" width="11" style="54" customWidth="1"/>
    <col min="14345" max="14591" width="11.42578125" style="54"/>
    <col min="14592" max="14592" width="35.7109375" style="54" customWidth="1"/>
    <col min="14593" max="14593" width="11.28515625" style="54" customWidth="1"/>
    <col min="14594" max="14594" width="10.28515625" style="54" customWidth="1"/>
    <col min="14595" max="14595" width="10.42578125" style="54" customWidth="1"/>
    <col min="14596" max="14596" width="11.5703125" style="54" customWidth="1"/>
    <col min="14597" max="14597" width="12.85546875" style="54" customWidth="1"/>
    <col min="14598" max="14599" width="10.85546875" style="54" customWidth="1"/>
    <col min="14600" max="14600" width="11" style="54" customWidth="1"/>
    <col min="14601" max="14847" width="11.42578125" style="54"/>
    <col min="14848" max="14848" width="35.7109375" style="54" customWidth="1"/>
    <col min="14849" max="14849" width="11.28515625" style="54" customWidth="1"/>
    <col min="14850" max="14850" width="10.28515625" style="54" customWidth="1"/>
    <col min="14851" max="14851" width="10.42578125" style="54" customWidth="1"/>
    <col min="14852" max="14852" width="11.5703125" style="54" customWidth="1"/>
    <col min="14853" max="14853" width="12.85546875" style="54" customWidth="1"/>
    <col min="14854" max="14855" width="10.85546875" style="54" customWidth="1"/>
    <col min="14856" max="14856" width="11" style="54" customWidth="1"/>
    <col min="14857" max="15103" width="11.42578125" style="54"/>
    <col min="15104" max="15104" width="35.7109375" style="54" customWidth="1"/>
    <col min="15105" max="15105" width="11.28515625" style="54" customWidth="1"/>
    <col min="15106" max="15106" width="10.28515625" style="54" customWidth="1"/>
    <col min="15107" max="15107" width="10.42578125" style="54" customWidth="1"/>
    <col min="15108" max="15108" width="11.5703125" style="54" customWidth="1"/>
    <col min="15109" max="15109" width="12.85546875" style="54" customWidth="1"/>
    <col min="15110" max="15111" width="10.85546875" style="54" customWidth="1"/>
    <col min="15112" max="15112" width="11" style="54" customWidth="1"/>
    <col min="15113" max="15359" width="11.42578125" style="54"/>
    <col min="15360" max="15360" width="35.7109375" style="54" customWidth="1"/>
    <col min="15361" max="15361" width="11.28515625" style="54" customWidth="1"/>
    <col min="15362" max="15362" width="10.28515625" style="54" customWidth="1"/>
    <col min="15363" max="15363" width="10.42578125" style="54" customWidth="1"/>
    <col min="15364" max="15364" width="11.5703125" style="54" customWidth="1"/>
    <col min="15365" max="15365" width="12.85546875" style="54" customWidth="1"/>
    <col min="15366" max="15367" width="10.85546875" style="54" customWidth="1"/>
    <col min="15368" max="15368" width="11" style="54" customWidth="1"/>
    <col min="15369" max="15615" width="11.42578125" style="54"/>
    <col min="15616" max="15616" width="35.7109375" style="54" customWidth="1"/>
    <col min="15617" max="15617" width="11.28515625" style="54" customWidth="1"/>
    <col min="15618" max="15618" width="10.28515625" style="54" customWidth="1"/>
    <col min="15619" max="15619" width="10.42578125" style="54" customWidth="1"/>
    <col min="15620" max="15620" width="11.5703125" style="54" customWidth="1"/>
    <col min="15621" max="15621" width="12.85546875" style="54" customWidth="1"/>
    <col min="15622" max="15623" width="10.85546875" style="54" customWidth="1"/>
    <col min="15624" max="15624" width="11" style="54" customWidth="1"/>
    <col min="15625" max="15871" width="11.42578125" style="54"/>
    <col min="15872" max="15872" width="35.7109375" style="54" customWidth="1"/>
    <col min="15873" max="15873" width="11.28515625" style="54" customWidth="1"/>
    <col min="15874" max="15874" width="10.28515625" style="54" customWidth="1"/>
    <col min="15875" max="15875" width="10.42578125" style="54" customWidth="1"/>
    <col min="15876" max="15876" width="11.5703125" style="54" customWidth="1"/>
    <col min="15877" max="15877" width="12.85546875" style="54" customWidth="1"/>
    <col min="15878" max="15879" width="10.85546875" style="54" customWidth="1"/>
    <col min="15880" max="15880" width="11" style="54" customWidth="1"/>
    <col min="15881" max="16127" width="11.42578125" style="54"/>
    <col min="16128" max="16128" width="35.7109375" style="54" customWidth="1"/>
    <col min="16129" max="16129" width="11.28515625" style="54" customWidth="1"/>
    <col min="16130" max="16130" width="10.28515625" style="54" customWidth="1"/>
    <col min="16131" max="16131" width="10.42578125" style="54" customWidth="1"/>
    <col min="16132" max="16132" width="11.5703125" style="54" customWidth="1"/>
    <col min="16133" max="16133" width="12.85546875" style="54" customWidth="1"/>
    <col min="16134" max="16135" width="10.85546875" style="54" customWidth="1"/>
    <col min="16136" max="16136" width="11" style="54" customWidth="1"/>
    <col min="16137" max="16384" width="11.42578125" style="54"/>
  </cols>
  <sheetData>
    <row r="1" spans="1:8" ht="18">
      <c r="A1" s="52" t="str">
        <f>HLOOKUP(INDICE!$F$2,Nombres!$C$3:$E$874,398)</f>
        <v>Breakdown of customer funds under management</v>
      </c>
      <c r="B1" s="53"/>
      <c r="C1" s="53"/>
      <c r="D1" s="53"/>
      <c r="E1" s="53"/>
      <c r="F1" s="53"/>
      <c r="G1" s="53"/>
      <c r="H1" s="53"/>
    </row>
    <row r="2" spans="1:8" ht="15.75">
      <c r="A2" s="55" t="str">
        <f>HLOOKUP(INDICE!$F$2,Nombres!$C$3:$E$874,31)</f>
        <v xml:space="preserve">(Constant million euros)    </v>
      </c>
      <c r="B2" s="56"/>
      <c r="C2" s="56"/>
      <c r="D2" s="56"/>
      <c r="E2" s="56"/>
      <c r="F2" s="56"/>
      <c r="G2" s="56"/>
      <c r="H2" s="56"/>
    </row>
    <row r="3" spans="1:8" ht="15.75">
      <c r="A3" s="57"/>
      <c r="B3" s="327" t="str">
        <f>HLOOKUP(INDICE!$F$2,Nombres!$C$3:$E$853,301)</f>
        <v>Banking activity in Spain</v>
      </c>
      <c r="C3" s="327"/>
      <c r="D3" s="327"/>
      <c r="E3" s="327"/>
      <c r="F3" s="327"/>
      <c r="G3" s="327"/>
      <c r="H3" s="327"/>
    </row>
    <row r="4" spans="1:8" ht="15.75">
      <c r="A4" s="58"/>
      <c r="B4" s="59">
        <v>42825</v>
      </c>
      <c r="C4" s="59">
        <v>42916</v>
      </c>
      <c r="D4" s="59">
        <v>43008</v>
      </c>
      <c r="E4" s="59">
        <v>43100</v>
      </c>
      <c r="F4" s="59">
        <v>43190</v>
      </c>
      <c r="G4" s="59">
        <v>43281</v>
      </c>
      <c r="H4" s="59">
        <v>43373</v>
      </c>
    </row>
    <row r="5" spans="1:8">
      <c r="A5" s="60" t="str">
        <f>HLOOKUP(INDICE!$F$2,Nombres!$C$3:$E$874,399)</f>
        <v>Demand deposits</v>
      </c>
      <c r="B5" s="61">
        <v>109242.57119699998</v>
      </c>
      <c r="C5" s="61">
        <v>115439.75551799999</v>
      </c>
      <c r="D5" s="61">
        <v>120954.22460200003</v>
      </c>
      <c r="E5" s="61">
        <v>126737.24041600007</v>
      </c>
      <c r="F5" s="61">
        <v>128779.37767709001</v>
      </c>
      <c r="G5" s="61">
        <v>135442.95116382002</v>
      </c>
      <c r="H5" s="61">
        <v>138496.61762197001</v>
      </c>
    </row>
    <row r="6" spans="1:8">
      <c r="A6" s="60" t="str">
        <f>HLOOKUP(INDICE!$F$2,Nombres!$C$3:$E$874,400)</f>
        <v>Time deposits</v>
      </c>
      <c r="B6" s="61">
        <v>64286.903193000013</v>
      </c>
      <c r="C6" s="61">
        <v>60786.144489000006</v>
      </c>
      <c r="D6" s="61">
        <v>57749.109565999992</v>
      </c>
      <c r="E6" s="61">
        <v>48085.064436000001</v>
      </c>
      <c r="F6" s="61">
        <v>40812.586467790003</v>
      </c>
      <c r="G6" s="61">
        <v>38559.603466789995</v>
      </c>
      <c r="H6" s="61">
        <v>36475.65538479</v>
      </c>
    </row>
    <row r="7" spans="1:8">
      <c r="A7" s="60" t="str">
        <f>HLOOKUP(INDICE!$F$2,Nombres!$C$3:$E$874,401)</f>
        <v>Off balance sheet funds (*)</v>
      </c>
      <c r="B7" s="61">
        <v>57491.967332</v>
      </c>
      <c r="C7" s="61">
        <v>58891.337677999996</v>
      </c>
      <c r="D7" s="61">
        <v>60049.499163</v>
      </c>
      <c r="E7" s="61">
        <v>62053.81425499999</v>
      </c>
      <c r="F7" s="61">
        <v>63047.631839000001</v>
      </c>
      <c r="G7" s="61">
        <v>63873.796987999995</v>
      </c>
      <c r="H7" s="61">
        <v>64150.061232299995</v>
      </c>
    </row>
    <row r="8" spans="1:8">
      <c r="A8" s="62" t="str">
        <f>HLOOKUP(INDICE!$F$2,Nombres!$C$3:$E$874,403)</f>
        <v>Customer funds under management (**)</v>
      </c>
      <c r="B8" s="62">
        <v>231021.44172199999</v>
      </c>
      <c r="C8" s="62">
        <v>235117.237685</v>
      </c>
      <c r="D8" s="62">
        <v>238752.83333100003</v>
      </c>
      <c r="E8" s="62">
        <v>236876.11910700006</v>
      </c>
      <c r="F8" s="62">
        <v>232639.59598388002</v>
      </c>
      <c r="G8" s="62">
        <v>237876.35161861</v>
      </c>
      <c r="H8" s="62">
        <v>239122.33423906</v>
      </c>
    </row>
    <row r="9" spans="1:8">
      <c r="A9" s="62"/>
      <c r="B9" s="62"/>
      <c r="C9" s="62"/>
      <c r="D9" s="62"/>
      <c r="E9" s="62"/>
      <c r="F9" s="62"/>
      <c r="G9" s="62"/>
      <c r="H9" s="62"/>
    </row>
    <row r="10" spans="1:8" ht="15.75">
      <c r="A10" s="56"/>
      <c r="B10" s="63"/>
      <c r="C10" s="63"/>
      <c r="D10" s="63"/>
      <c r="E10" s="63"/>
      <c r="F10" s="63"/>
      <c r="G10" s="63"/>
      <c r="H10" s="63"/>
    </row>
    <row r="11" spans="1:8" ht="15.75">
      <c r="A11" s="56"/>
      <c r="B11" s="56"/>
      <c r="C11" s="56"/>
      <c r="D11" s="56"/>
      <c r="E11" s="56"/>
      <c r="F11" s="56"/>
      <c r="G11" s="56"/>
      <c r="H11" s="56"/>
    </row>
    <row r="12" spans="1:8" ht="15.75">
      <c r="A12" s="57"/>
      <c r="B12" s="327" t="str">
        <f>HLOOKUP(INDICE!$F$2,Nombres!$C$3:$E$853,20)</f>
        <v>The United States</v>
      </c>
      <c r="C12" s="327"/>
      <c r="D12" s="327"/>
      <c r="E12" s="327"/>
      <c r="F12" s="327"/>
      <c r="G12" s="327"/>
      <c r="H12" s="327"/>
    </row>
    <row r="13" spans="1:8" ht="15.75">
      <c r="A13" s="58"/>
      <c r="B13" s="59">
        <v>42825</v>
      </c>
      <c r="C13" s="59">
        <v>42916</v>
      </c>
      <c r="D13" s="59">
        <v>43008</v>
      </c>
      <c r="E13" s="59">
        <v>43100</v>
      </c>
      <c r="F13" s="59">
        <v>43190</v>
      </c>
      <c r="G13" s="59">
        <v>43281</v>
      </c>
      <c r="H13" s="59">
        <v>43373</v>
      </c>
    </row>
    <row r="14" spans="1:8">
      <c r="A14" s="60" t="str">
        <f>HLOOKUP(INDICE!$F$2,Nombres!$C$3:$E$874,399)</f>
        <v>Demand deposits</v>
      </c>
      <c r="B14" s="61">
        <v>39472.259090888503</v>
      </c>
      <c r="C14" s="61">
        <v>38467.172075200593</v>
      </c>
      <c r="D14" s="61">
        <v>38410.03317338488</v>
      </c>
      <c r="E14" s="61">
        <v>39871.922947868501</v>
      </c>
      <c r="F14" s="61">
        <v>39793.186917762512</v>
      </c>
      <c r="G14" s="61">
        <v>39784.151485373011</v>
      </c>
      <c r="H14" s="61">
        <v>40116.864083590001</v>
      </c>
    </row>
    <row r="15" spans="1:8">
      <c r="A15" s="60" t="str">
        <f>HLOOKUP(INDICE!$F$2,Nombres!$C$3:$E$874,400)</f>
        <v>Time deposits</v>
      </c>
      <c r="B15" s="61">
        <v>13061.978279571475</v>
      </c>
      <c r="C15" s="61">
        <v>13399.13499165565</v>
      </c>
      <c r="D15" s="61">
        <v>14136.578754854796</v>
      </c>
      <c r="E15" s="61">
        <v>17371.066859668063</v>
      </c>
      <c r="F15" s="61">
        <v>16342.125103905077</v>
      </c>
      <c r="G15" s="61">
        <v>15726.265977072133</v>
      </c>
      <c r="H15" s="61">
        <v>15399.556531900002</v>
      </c>
    </row>
    <row r="16" spans="1:8" ht="15.75">
      <c r="A16" s="60" t="str">
        <f>HLOOKUP(INDICE!$F$2,Nombres!$C$3:$E$874,389)</f>
        <v>Other</v>
      </c>
      <c r="B16" s="63">
        <v>6401.2064668461553</v>
      </c>
      <c r="C16" s="63">
        <v>5884.3670477030591</v>
      </c>
      <c r="D16" s="63">
        <v>5899.2496308399732</v>
      </c>
      <c r="E16" s="63">
        <v>5753.247631073772</v>
      </c>
      <c r="F16" s="63">
        <v>6153.3585784448414</v>
      </c>
      <c r="G16" s="63">
        <v>5730.1880259082363</v>
      </c>
      <c r="H16" s="63">
        <v>5396.9819758100002</v>
      </c>
    </row>
    <row r="17" spans="1:8">
      <c r="A17" s="62" t="str">
        <f>HLOOKUP(INDICE!$F$2,Nombres!$C$3:$E$874,403)</f>
        <v>Customer funds under management (**)</v>
      </c>
      <c r="B17" s="62">
        <v>58935.443837306128</v>
      </c>
      <c r="C17" s="62">
        <v>57750.674114559304</v>
      </c>
      <c r="D17" s="62">
        <v>58445.861559079654</v>
      </c>
      <c r="E17" s="62">
        <v>62996.23743861034</v>
      </c>
      <c r="F17" s="62">
        <v>62288.670600112433</v>
      </c>
      <c r="G17" s="62">
        <v>61240.60548835338</v>
      </c>
      <c r="H17" s="62">
        <v>60913.4025913</v>
      </c>
    </row>
    <row r="18" spans="1:8" ht="15.75">
      <c r="A18" s="56"/>
      <c r="B18" s="63"/>
      <c r="C18" s="63"/>
      <c r="D18" s="63"/>
      <c r="E18" s="63"/>
      <c r="F18" s="63"/>
      <c r="G18" s="63"/>
      <c r="H18" s="63"/>
    </row>
    <row r="19" spans="1:8" ht="15.75">
      <c r="A19" s="56"/>
      <c r="B19" s="62"/>
      <c r="C19" s="56"/>
      <c r="D19" s="56"/>
      <c r="E19" s="56"/>
      <c r="F19" s="56"/>
      <c r="G19" s="56"/>
      <c r="H19" s="56"/>
    </row>
    <row r="20" spans="1:8" ht="15.75">
      <c r="A20" s="57"/>
      <c r="B20" s="327" t="str">
        <f>HLOOKUP(INDICE!$F$2,Nombres!$C$3:$E$853,9)</f>
        <v>Mexico</v>
      </c>
      <c r="C20" s="327"/>
      <c r="D20" s="327"/>
      <c r="E20" s="327"/>
      <c r="F20" s="327"/>
      <c r="G20" s="327"/>
      <c r="H20" s="327"/>
    </row>
    <row r="21" spans="1:8" ht="15.75">
      <c r="A21" s="58"/>
      <c r="B21" s="59">
        <v>42825</v>
      </c>
      <c r="C21" s="59">
        <v>42916</v>
      </c>
      <c r="D21" s="59">
        <v>43008</v>
      </c>
      <c r="E21" s="59">
        <v>43100</v>
      </c>
      <c r="F21" s="59">
        <v>43190</v>
      </c>
      <c r="G21" s="59">
        <v>43281</v>
      </c>
      <c r="H21" s="59">
        <v>43373</v>
      </c>
    </row>
    <row r="22" spans="1:8">
      <c r="A22" s="60" t="str">
        <f>HLOOKUP(INDICE!$F$2,Nombres!$C$3:$E$874,399)</f>
        <v>Demand deposits</v>
      </c>
      <c r="B22" s="61">
        <v>35110.736317056158</v>
      </c>
      <c r="C22" s="61">
        <v>35693.676772799983</v>
      </c>
      <c r="D22" s="61">
        <v>37777.131653756107</v>
      </c>
      <c r="E22" s="61">
        <v>37866.175578340815</v>
      </c>
      <c r="F22" s="61">
        <v>36544.281322791474</v>
      </c>
      <c r="G22" s="61">
        <v>38749.803186760466</v>
      </c>
      <c r="H22" s="61">
        <v>36927.180642910003</v>
      </c>
    </row>
    <row r="23" spans="1:8">
      <c r="A23" s="60" t="str">
        <f>HLOOKUP(INDICE!$F$2,Nombres!$C$3:$E$874,400)</f>
        <v>Time deposits</v>
      </c>
      <c r="B23" s="61">
        <v>9303.9270056851165</v>
      </c>
      <c r="C23" s="61">
        <v>10283.035670557845</v>
      </c>
      <c r="D23" s="61">
        <v>11293.205821106087</v>
      </c>
      <c r="E23" s="61">
        <v>11121.813287241888</v>
      </c>
      <c r="F23" s="61">
        <v>11054.304880475342</v>
      </c>
      <c r="G23" s="61">
        <v>11827.448534129537</v>
      </c>
      <c r="H23" s="61">
        <v>12335.605031989999</v>
      </c>
    </row>
    <row r="24" spans="1:8">
      <c r="A24" s="60" t="str">
        <f>HLOOKUP(INDICE!$F$2,Nombres!$C$3:$E$874,401)</f>
        <v>Off balance sheet funds (*)</v>
      </c>
      <c r="B24" s="61">
        <v>16378.8185748</v>
      </c>
      <c r="C24" s="61">
        <v>16889.126651565784</v>
      </c>
      <c r="D24" s="61">
        <v>17676.552027050933</v>
      </c>
      <c r="E24" s="61">
        <v>17849.807982486469</v>
      </c>
      <c r="F24" s="61">
        <v>18189.344158011445</v>
      </c>
      <c r="G24" s="61">
        <v>18840.179685284878</v>
      </c>
      <c r="H24" s="61">
        <v>19160.626357099998</v>
      </c>
    </row>
    <row r="25" spans="1:8">
      <c r="A25" s="60" t="str">
        <f>HLOOKUP(INDICE!$F$2,Nombres!$C$3:$E$874,389)</f>
        <v>Other</v>
      </c>
      <c r="B25" s="61">
        <v>2668.0868422794651</v>
      </c>
      <c r="C25" s="61">
        <v>2995.7882835040723</v>
      </c>
      <c r="D25" s="61">
        <v>3205.6510305295324</v>
      </c>
      <c r="E25" s="61">
        <v>3304.2132956751379</v>
      </c>
      <c r="F25" s="61">
        <v>2528.438458867467</v>
      </c>
      <c r="G25" s="61">
        <v>3036.2371771550715</v>
      </c>
      <c r="H25" s="61">
        <v>3162.0461762200002</v>
      </c>
    </row>
    <row r="26" spans="1:8">
      <c r="A26" s="62" t="str">
        <f>HLOOKUP(INDICE!$F$2,Nombres!$C$3:$E$874,403)</f>
        <v>Customer funds under management (**)</v>
      </c>
      <c r="B26" s="62">
        <v>63461.568789938654</v>
      </c>
      <c r="C26" s="62">
        <v>65861.627428545413</v>
      </c>
      <c r="D26" s="62">
        <v>69952.540582559333</v>
      </c>
      <c r="E26" s="62">
        <v>70142.010193859373</v>
      </c>
      <c r="F26" s="62">
        <v>68316.368870253471</v>
      </c>
      <c r="G26" s="62">
        <v>72453.668633453679</v>
      </c>
      <c r="H26" s="62">
        <v>71585.458258330007</v>
      </c>
    </row>
    <row r="27" spans="1:8" ht="15.75">
      <c r="A27" s="56"/>
      <c r="B27" s="63"/>
      <c r="C27" s="63"/>
      <c r="D27" s="63"/>
      <c r="E27" s="63"/>
      <c r="F27" s="63"/>
      <c r="G27" s="63"/>
      <c r="H27" s="63"/>
    </row>
    <row r="28" spans="1:8" ht="15.75">
      <c r="A28" s="56"/>
      <c r="B28" s="63"/>
      <c r="C28" s="63"/>
      <c r="D28" s="63"/>
      <c r="E28" s="63"/>
      <c r="F28" s="63"/>
      <c r="G28" s="63"/>
      <c r="H28" s="63"/>
    </row>
    <row r="29" spans="1:8" ht="15.75">
      <c r="A29" s="57"/>
      <c r="B29" s="327" t="str">
        <f>HLOOKUP(INDICE!$F$2,Nombres!$C$3:$E$853,295)</f>
        <v xml:space="preserve">Turkey </v>
      </c>
      <c r="C29" s="327"/>
      <c r="D29" s="327"/>
      <c r="E29" s="327"/>
      <c r="F29" s="327"/>
      <c r="G29" s="327"/>
      <c r="H29" s="327"/>
    </row>
    <row r="30" spans="1:8" ht="15.75">
      <c r="A30" s="58"/>
      <c r="B30" s="59">
        <v>42825</v>
      </c>
      <c r="C30" s="59">
        <v>42916</v>
      </c>
      <c r="D30" s="59">
        <v>43008</v>
      </c>
      <c r="E30" s="59">
        <v>43100</v>
      </c>
      <c r="F30" s="59">
        <v>43190</v>
      </c>
      <c r="G30" s="59">
        <v>43281</v>
      </c>
      <c r="H30" s="59">
        <v>43373</v>
      </c>
    </row>
    <row r="31" spans="1:8">
      <c r="A31" s="60" t="str">
        <f>HLOOKUP(INDICE!$F$2,Nombres!$C$3:$E$874,399)</f>
        <v>Demand deposits</v>
      </c>
      <c r="B31" s="61">
        <v>7975.3347507650324</v>
      </c>
      <c r="C31" s="61">
        <v>8236.1073444480189</v>
      </c>
      <c r="D31" s="61">
        <v>8430.0359361180781</v>
      </c>
      <c r="E31" s="61">
        <v>9294.9931570670706</v>
      </c>
      <c r="F31" s="61">
        <v>9401.6620215053244</v>
      </c>
      <c r="G31" s="61">
        <v>10536.714466631789</v>
      </c>
      <c r="H31" s="61">
        <v>12626.153000000002</v>
      </c>
    </row>
    <row r="32" spans="1:8">
      <c r="A32" s="60" t="str">
        <f>HLOOKUP(INDICE!$F$2,Nombres!$C$3:$E$874,400)</f>
        <v>Time deposits</v>
      </c>
      <c r="B32" s="61">
        <v>18014.638971070392</v>
      </c>
      <c r="C32" s="61">
        <v>18711.168929178009</v>
      </c>
      <c r="D32" s="61">
        <v>19097.298417634156</v>
      </c>
      <c r="E32" s="61">
        <v>19778.133316783118</v>
      </c>
      <c r="F32" s="61">
        <v>20935.581061993715</v>
      </c>
      <c r="G32" s="61">
        <v>21884.529306423803</v>
      </c>
      <c r="H32" s="61">
        <v>26209.971000000001</v>
      </c>
    </row>
    <row r="33" spans="1:8">
      <c r="A33" s="60" t="str">
        <f>HLOOKUP(INDICE!$F$2,Nombres!$C$3:$E$874,401)</f>
        <v>Off balance sheet funds (*)</v>
      </c>
      <c r="B33" s="61">
        <v>2102.1006344585376</v>
      </c>
      <c r="C33" s="61">
        <v>2254.7737358778322</v>
      </c>
      <c r="D33" s="61">
        <v>2361.0071567964305</v>
      </c>
      <c r="E33" s="61">
        <v>2547.0198733598845</v>
      </c>
      <c r="F33" s="61">
        <v>2714.8038164480713</v>
      </c>
      <c r="G33" s="61">
        <v>2636.4057962619918</v>
      </c>
      <c r="H33" s="61">
        <v>2583.3960000000002</v>
      </c>
    </row>
    <row r="34" spans="1:8">
      <c r="A34" s="62" t="str">
        <f>HLOOKUP(INDICE!$F$2,Nombres!$C$3:$E$874,403)</f>
        <v>Customer funds under management (**)</v>
      </c>
      <c r="B34" s="62">
        <v>28092.074356293961</v>
      </c>
      <c r="C34" s="62">
        <v>29202.050009503859</v>
      </c>
      <c r="D34" s="62">
        <v>29888.341510548664</v>
      </c>
      <c r="E34" s="62">
        <v>31620.146347210073</v>
      </c>
      <c r="F34" s="62">
        <v>33052.046899947105</v>
      </c>
      <c r="G34" s="62">
        <v>35057.649569317582</v>
      </c>
      <c r="H34" s="62">
        <v>41419.520000000004</v>
      </c>
    </row>
    <row r="35" spans="1:8">
      <c r="A35" s="62"/>
      <c r="B35" s="62"/>
      <c r="C35" s="62"/>
      <c r="D35" s="62"/>
      <c r="E35" s="62"/>
      <c r="F35" s="62"/>
      <c r="G35" s="62"/>
      <c r="H35" s="62"/>
    </row>
    <row r="36" spans="1:8">
      <c r="A36" s="62"/>
      <c r="B36" s="62"/>
      <c r="C36" s="62"/>
      <c r="D36" s="62"/>
      <c r="E36" s="62"/>
      <c r="F36" s="62"/>
      <c r="G36" s="62"/>
      <c r="H36" s="62"/>
    </row>
    <row r="37" spans="1:8">
      <c r="A37" s="62"/>
      <c r="B37" s="62"/>
      <c r="C37" s="62"/>
      <c r="D37" s="62"/>
      <c r="E37" s="62"/>
      <c r="F37" s="62"/>
      <c r="G37" s="62"/>
      <c r="H37" s="62"/>
    </row>
    <row r="38" spans="1:8" ht="15.75">
      <c r="A38" s="57"/>
      <c r="B38" s="327" t="str">
        <f>HLOOKUP(INDICE!$F$2,Nombres!$C$3:$E$853,12)</f>
        <v>South America</v>
      </c>
      <c r="C38" s="327"/>
      <c r="D38" s="327"/>
      <c r="E38" s="327"/>
      <c r="F38" s="327"/>
      <c r="G38" s="327"/>
      <c r="H38" s="327"/>
    </row>
    <row r="39" spans="1:8" ht="15.75">
      <c r="A39" s="58"/>
      <c r="B39" s="59">
        <v>42825</v>
      </c>
      <c r="C39" s="59">
        <v>42916</v>
      </c>
      <c r="D39" s="59">
        <v>43008</v>
      </c>
      <c r="E39" s="59">
        <v>43100</v>
      </c>
      <c r="F39" s="59">
        <v>43190</v>
      </c>
      <c r="G39" s="59">
        <v>43281</v>
      </c>
      <c r="H39" s="59">
        <v>43373</v>
      </c>
    </row>
    <row r="40" spans="1:8">
      <c r="A40" s="60" t="str">
        <f>HLOOKUP(INDICE!$F$2,Nombres!$C$3:$E$874,15)</f>
        <v>Argentina</v>
      </c>
      <c r="B40" s="61">
        <v>3191.0909876727264</v>
      </c>
      <c r="C40" s="61">
        <v>3292.2040368475991</v>
      </c>
      <c r="D40" s="61">
        <v>3391.0010181075886</v>
      </c>
      <c r="E40" s="61">
        <v>3960.5638781681173</v>
      </c>
      <c r="F40" s="61">
        <v>4450.4456220007678</v>
      </c>
      <c r="G40" s="61">
        <v>5057.1435834742297</v>
      </c>
      <c r="H40" s="61">
        <v>6187.4770356099998</v>
      </c>
    </row>
    <row r="41" spans="1:8">
      <c r="A41" s="60" t="str">
        <f>HLOOKUP(INDICE!$F$2,Nombres!$C$3:$E$874,16)</f>
        <v>Chile</v>
      </c>
      <c r="B41" s="61">
        <v>10521.764690992835</v>
      </c>
      <c r="C41" s="61">
        <v>10434.754140401456</v>
      </c>
      <c r="D41" s="61">
        <v>10551.647403367533</v>
      </c>
      <c r="E41" s="61">
        <v>10573.064772296535</v>
      </c>
      <c r="F41" s="61">
        <v>10272.858449518644</v>
      </c>
      <c r="G41" s="61">
        <v>10750.976287448899</v>
      </c>
      <c r="H41" s="61">
        <v>14.068999999999999</v>
      </c>
    </row>
    <row r="42" spans="1:8">
      <c r="A42" s="60" t="str">
        <f>HLOOKUP(INDICE!$F$2,Nombres!$C$3:$E$874,17)</f>
        <v>Colombia</v>
      </c>
      <c r="B42" s="61">
        <v>13206.865009234432</v>
      </c>
      <c r="C42" s="61">
        <v>13148.702263395066</v>
      </c>
      <c r="D42" s="61">
        <v>13037.743963639097</v>
      </c>
      <c r="E42" s="61">
        <v>13825.162591702612</v>
      </c>
      <c r="F42" s="61">
        <v>14150.052771618937</v>
      </c>
      <c r="G42" s="61">
        <v>14470.44967883127</v>
      </c>
      <c r="H42" s="61">
        <v>14852.646034079999</v>
      </c>
    </row>
    <row r="43" spans="1:8">
      <c r="A43" s="60" t="str">
        <f>HLOOKUP(INDICE!$F$2,Nombres!$C$3:$E$874,18)</f>
        <v>Peru</v>
      </c>
      <c r="B43" s="61">
        <v>13695.051458391605</v>
      </c>
      <c r="C43" s="61">
        <v>13401.035520132358</v>
      </c>
      <c r="D43" s="61">
        <v>14100.646234114565</v>
      </c>
      <c r="E43" s="61">
        <v>14024.128730975955</v>
      </c>
      <c r="F43" s="61">
        <v>13943.818341159536</v>
      </c>
      <c r="G43" s="61">
        <v>13761.37664213646</v>
      </c>
      <c r="H43" s="61">
        <v>14704.011513330002</v>
      </c>
    </row>
    <row r="44" spans="1:8">
      <c r="A44" s="60" t="str">
        <f>HLOOKUP(INDICE!$F$2,Nombres!$C$3:$E$874,389)</f>
        <v>Other</v>
      </c>
      <c r="B44" s="61">
        <v>11107.866768146503</v>
      </c>
      <c r="C44" s="61">
        <v>11329.464157209786</v>
      </c>
      <c r="D44" s="61">
        <v>11770.332339660081</v>
      </c>
      <c r="E44" s="61">
        <v>12115.161056869734</v>
      </c>
      <c r="F44" s="61">
        <v>12164.079788493942</v>
      </c>
      <c r="G44" s="61">
        <v>11903.933510973628</v>
      </c>
      <c r="H44" s="61">
        <v>12217.75704701</v>
      </c>
    </row>
    <row r="45" spans="1:8">
      <c r="A45" s="62" t="str">
        <f>HLOOKUP(INDICE!$F$2,Nombres!$C$3:$E$874,403)</f>
        <v>Customer funds under management (**)</v>
      </c>
      <c r="B45" s="62">
        <v>51722.638914438096</v>
      </c>
      <c r="C45" s="62">
        <v>51606.160117986248</v>
      </c>
      <c r="D45" s="62">
        <v>52851.370958888867</v>
      </c>
      <c r="E45" s="62">
        <v>54498.081030012952</v>
      </c>
      <c r="F45" s="62">
        <v>54981.254972791823</v>
      </c>
      <c r="G45" s="62">
        <v>55943.879702864491</v>
      </c>
      <c r="H45" s="62">
        <v>47975.960630030007</v>
      </c>
    </row>
    <row r="46" spans="1:8" ht="15.75">
      <c r="A46" s="56"/>
      <c r="B46" s="56"/>
      <c r="C46" s="56"/>
      <c r="D46" s="56"/>
      <c r="E46" s="56"/>
      <c r="F46" s="56"/>
      <c r="G46" s="56"/>
      <c r="H46" s="63"/>
    </row>
    <row r="47" spans="1:8" ht="15.75">
      <c r="A47" s="64" t="str">
        <f>HLOOKUP(INDICE!$F$2,Nombres!$C$3:$E$874,405)</f>
        <v>(*) Includes mutual funds, pension funds and other off-balance sheet funds.</v>
      </c>
      <c r="B47" s="56"/>
      <c r="C47" s="56"/>
      <c r="D47" s="56"/>
      <c r="E47" s="56"/>
      <c r="F47" s="56"/>
      <c r="G47" s="56"/>
      <c r="H47" s="63"/>
    </row>
    <row r="48" spans="1:8" ht="15.75">
      <c r="A48" s="64" t="str">
        <f>HLOOKUP(INDICE!$F$2,Nombres!$C$3:$E$874,294)</f>
        <v>(**) Excluding repos.</v>
      </c>
      <c r="B48" s="56"/>
      <c r="C48" s="56"/>
      <c r="D48" s="56"/>
      <c r="E48" s="56"/>
      <c r="F48" s="56"/>
      <c r="G48" s="56"/>
      <c r="H48" s="63"/>
    </row>
    <row r="49" spans="2:8" ht="15.75">
      <c r="B49" s="56"/>
      <c r="C49" s="56"/>
      <c r="D49" s="56"/>
      <c r="E49" s="56"/>
      <c r="F49" s="56"/>
      <c r="G49" s="56"/>
      <c r="H49" s="56"/>
    </row>
  </sheetData>
  <mergeCells count="5">
    <mergeCell ref="B3:H3"/>
    <mergeCell ref="B12:H12"/>
    <mergeCell ref="B20:H20"/>
    <mergeCell ref="B29:H29"/>
    <mergeCell ref="B38:H38"/>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G437"/>
  <sheetViews>
    <sheetView showGridLines="0" showZeros="0" showOutlineSymbols="0" topLeftCell="A413" zoomScaleNormal="100" workbookViewId="0">
      <selection activeCell="C438" sqref="C438"/>
    </sheetView>
  </sheetViews>
  <sheetFormatPr baseColWidth="10" defaultRowHeight="11.25"/>
  <cols>
    <col min="1" max="1" width="2.42578125" style="26" customWidth="1"/>
    <col min="2" max="2" width="5.28515625" style="26" bestFit="1" customWidth="1"/>
    <col min="3" max="3" width="60.5703125" style="27" customWidth="1"/>
    <col min="4" max="4" width="47.7109375" style="27" customWidth="1"/>
    <col min="5" max="5" width="38.5703125" style="27" customWidth="1"/>
    <col min="6" max="256" width="11.42578125" style="26"/>
    <col min="257" max="257" width="2.42578125" style="26" customWidth="1"/>
    <col min="258" max="258" width="5.28515625" style="26" bestFit="1" customWidth="1"/>
    <col min="259" max="259" width="60.5703125" style="26" customWidth="1"/>
    <col min="260" max="260" width="47.7109375" style="26" customWidth="1"/>
    <col min="261" max="261" width="38.5703125" style="26" customWidth="1"/>
    <col min="262" max="512" width="11.42578125" style="26"/>
    <col min="513" max="513" width="2.42578125" style="26" customWidth="1"/>
    <col min="514" max="514" width="5.28515625" style="26" bestFit="1" customWidth="1"/>
    <col min="515" max="515" width="60.5703125" style="26" customWidth="1"/>
    <col min="516" max="516" width="47.7109375" style="26" customWidth="1"/>
    <col min="517" max="517" width="38.5703125" style="26" customWidth="1"/>
    <col min="518" max="768" width="11.42578125" style="26"/>
    <col min="769" max="769" width="2.42578125" style="26" customWidth="1"/>
    <col min="770" max="770" width="5.28515625" style="26" bestFit="1" customWidth="1"/>
    <col min="771" max="771" width="60.5703125" style="26" customWidth="1"/>
    <col min="772" max="772" width="47.7109375" style="26" customWidth="1"/>
    <col min="773" max="773" width="38.5703125" style="26" customWidth="1"/>
    <col min="774" max="1024" width="11.42578125" style="26"/>
    <col min="1025" max="1025" width="2.42578125" style="26" customWidth="1"/>
    <col min="1026" max="1026" width="5.28515625" style="26" bestFit="1" customWidth="1"/>
    <col min="1027" max="1027" width="60.5703125" style="26" customWidth="1"/>
    <col min="1028" max="1028" width="47.7109375" style="26" customWidth="1"/>
    <col min="1029" max="1029" width="38.5703125" style="26" customWidth="1"/>
    <col min="1030" max="1280" width="11.42578125" style="26"/>
    <col min="1281" max="1281" width="2.42578125" style="26" customWidth="1"/>
    <col min="1282" max="1282" width="5.28515625" style="26" bestFit="1" customWidth="1"/>
    <col min="1283" max="1283" width="60.5703125" style="26" customWidth="1"/>
    <col min="1284" max="1284" width="47.7109375" style="26" customWidth="1"/>
    <col min="1285" max="1285" width="38.5703125" style="26" customWidth="1"/>
    <col min="1286" max="1536" width="11.42578125" style="26"/>
    <col min="1537" max="1537" width="2.42578125" style="26" customWidth="1"/>
    <col min="1538" max="1538" width="5.28515625" style="26" bestFit="1" customWidth="1"/>
    <col min="1539" max="1539" width="60.5703125" style="26" customWidth="1"/>
    <col min="1540" max="1540" width="47.7109375" style="26" customWidth="1"/>
    <col min="1541" max="1541" width="38.5703125" style="26" customWidth="1"/>
    <col min="1542" max="1792" width="11.42578125" style="26"/>
    <col min="1793" max="1793" width="2.42578125" style="26" customWidth="1"/>
    <col min="1794" max="1794" width="5.28515625" style="26" bestFit="1" customWidth="1"/>
    <col min="1795" max="1795" width="60.5703125" style="26" customWidth="1"/>
    <col min="1796" max="1796" width="47.7109375" style="26" customWidth="1"/>
    <col min="1797" max="1797" width="38.5703125" style="26" customWidth="1"/>
    <col min="1798" max="2048" width="11.42578125" style="26"/>
    <col min="2049" max="2049" width="2.42578125" style="26" customWidth="1"/>
    <col min="2050" max="2050" width="5.28515625" style="26" bestFit="1" customWidth="1"/>
    <col min="2051" max="2051" width="60.5703125" style="26" customWidth="1"/>
    <col min="2052" max="2052" width="47.7109375" style="26" customWidth="1"/>
    <col min="2053" max="2053" width="38.5703125" style="26" customWidth="1"/>
    <col min="2054" max="2304" width="11.42578125" style="26"/>
    <col min="2305" max="2305" width="2.42578125" style="26" customWidth="1"/>
    <col min="2306" max="2306" width="5.28515625" style="26" bestFit="1" customWidth="1"/>
    <col min="2307" max="2307" width="60.5703125" style="26" customWidth="1"/>
    <col min="2308" max="2308" width="47.7109375" style="26" customWidth="1"/>
    <col min="2309" max="2309" width="38.5703125" style="26" customWidth="1"/>
    <col min="2310" max="2560" width="11.42578125" style="26"/>
    <col min="2561" max="2561" width="2.42578125" style="26" customWidth="1"/>
    <col min="2562" max="2562" width="5.28515625" style="26" bestFit="1" customWidth="1"/>
    <col min="2563" max="2563" width="60.5703125" style="26" customWidth="1"/>
    <col min="2564" max="2564" width="47.7109375" style="26" customWidth="1"/>
    <col min="2565" max="2565" width="38.5703125" style="26" customWidth="1"/>
    <col min="2566" max="2816" width="11.42578125" style="26"/>
    <col min="2817" max="2817" width="2.42578125" style="26" customWidth="1"/>
    <col min="2818" max="2818" width="5.28515625" style="26" bestFit="1" customWidth="1"/>
    <col min="2819" max="2819" width="60.5703125" style="26" customWidth="1"/>
    <col min="2820" max="2820" width="47.7109375" style="26" customWidth="1"/>
    <col min="2821" max="2821" width="38.5703125" style="26" customWidth="1"/>
    <col min="2822" max="3072" width="11.42578125" style="26"/>
    <col min="3073" max="3073" width="2.42578125" style="26" customWidth="1"/>
    <col min="3074" max="3074" width="5.28515625" style="26" bestFit="1" customWidth="1"/>
    <col min="3075" max="3075" width="60.5703125" style="26" customWidth="1"/>
    <col min="3076" max="3076" width="47.7109375" style="26" customWidth="1"/>
    <col min="3077" max="3077" width="38.5703125" style="26" customWidth="1"/>
    <col min="3078" max="3328" width="11.42578125" style="26"/>
    <col min="3329" max="3329" width="2.42578125" style="26" customWidth="1"/>
    <col min="3330" max="3330" width="5.28515625" style="26" bestFit="1" customWidth="1"/>
    <col min="3331" max="3331" width="60.5703125" style="26" customWidth="1"/>
    <col min="3332" max="3332" width="47.7109375" style="26" customWidth="1"/>
    <col min="3333" max="3333" width="38.5703125" style="26" customWidth="1"/>
    <col min="3334" max="3584" width="11.42578125" style="26"/>
    <col min="3585" max="3585" width="2.42578125" style="26" customWidth="1"/>
    <col min="3586" max="3586" width="5.28515625" style="26" bestFit="1" customWidth="1"/>
    <col min="3587" max="3587" width="60.5703125" style="26" customWidth="1"/>
    <col min="3588" max="3588" width="47.7109375" style="26" customWidth="1"/>
    <col min="3589" max="3589" width="38.5703125" style="26" customWidth="1"/>
    <col min="3590" max="3840" width="11.42578125" style="26"/>
    <col min="3841" max="3841" width="2.42578125" style="26" customWidth="1"/>
    <col min="3842" max="3842" width="5.28515625" style="26" bestFit="1" customWidth="1"/>
    <col min="3843" max="3843" width="60.5703125" style="26" customWidth="1"/>
    <col min="3844" max="3844" width="47.7109375" style="26" customWidth="1"/>
    <col min="3845" max="3845" width="38.5703125" style="26" customWidth="1"/>
    <col min="3846" max="4096" width="11.42578125" style="26"/>
    <col min="4097" max="4097" width="2.42578125" style="26" customWidth="1"/>
    <col min="4098" max="4098" width="5.28515625" style="26" bestFit="1" customWidth="1"/>
    <col min="4099" max="4099" width="60.5703125" style="26" customWidth="1"/>
    <col min="4100" max="4100" width="47.7109375" style="26" customWidth="1"/>
    <col min="4101" max="4101" width="38.5703125" style="26" customWidth="1"/>
    <col min="4102" max="4352" width="11.42578125" style="26"/>
    <col min="4353" max="4353" width="2.42578125" style="26" customWidth="1"/>
    <col min="4354" max="4354" width="5.28515625" style="26" bestFit="1" customWidth="1"/>
    <col min="4355" max="4355" width="60.5703125" style="26" customWidth="1"/>
    <col min="4356" max="4356" width="47.7109375" style="26" customWidth="1"/>
    <col min="4357" max="4357" width="38.5703125" style="26" customWidth="1"/>
    <col min="4358" max="4608" width="11.42578125" style="26"/>
    <col min="4609" max="4609" width="2.42578125" style="26" customWidth="1"/>
    <col min="4610" max="4610" width="5.28515625" style="26" bestFit="1" customWidth="1"/>
    <col min="4611" max="4611" width="60.5703125" style="26" customWidth="1"/>
    <col min="4612" max="4612" width="47.7109375" style="26" customWidth="1"/>
    <col min="4613" max="4613" width="38.5703125" style="26" customWidth="1"/>
    <col min="4614" max="4864" width="11.42578125" style="26"/>
    <col min="4865" max="4865" width="2.42578125" style="26" customWidth="1"/>
    <col min="4866" max="4866" width="5.28515625" style="26" bestFit="1" customWidth="1"/>
    <col min="4867" max="4867" width="60.5703125" style="26" customWidth="1"/>
    <col min="4868" max="4868" width="47.7109375" style="26" customWidth="1"/>
    <col min="4869" max="4869" width="38.5703125" style="26" customWidth="1"/>
    <col min="4870" max="5120" width="11.42578125" style="26"/>
    <col min="5121" max="5121" width="2.42578125" style="26" customWidth="1"/>
    <col min="5122" max="5122" width="5.28515625" style="26" bestFit="1" customWidth="1"/>
    <col min="5123" max="5123" width="60.5703125" style="26" customWidth="1"/>
    <col min="5124" max="5124" width="47.7109375" style="26" customWidth="1"/>
    <col min="5125" max="5125" width="38.5703125" style="26" customWidth="1"/>
    <col min="5126" max="5376" width="11.42578125" style="26"/>
    <col min="5377" max="5377" width="2.42578125" style="26" customWidth="1"/>
    <col min="5378" max="5378" width="5.28515625" style="26" bestFit="1" customWidth="1"/>
    <col min="5379" max="5379" width="60.5703125" style="26" customWidth="1"/>
    <col min="5380" max="5380" width="47.7109375" style="26" customWidth="1"/>
    <col min="5381" max="5381" width="38.5703125" style="26" customWidth="1"/>
    <col min="5382" max="5632" width="11.42578125" style="26"/>
    <col min="5633" max="5633" width="2.42578125" style="26" customWidth="1"/>
    <col min="5634" max="5634" width="5.28515625" style="26" bestFit="1" customWidth="1"/>
    <col min="5635" max="5635" width="60.5703125" style="26" customWidth="1"/>
    <col min="5636" max="5636" width="47.7109375" style="26" customWidth="1"/>
    <col min="5637" max="5637" width="38.5703125" style="26" customWidth="1"/>
    <col min="5638" max="5888" width="11.42578125" style="26"/>
    <col min="5889" max="5889" width="2.42578125" style="26" customWidth="1"/>
    <col min="5890" max="5890" width="5.28515625" style="26" bestFit="1" customWidth="1"/>
    <col min="5891" max="5891" width="60.5703125" style="26" customWidth="1"/>
    <col min="5892" max="5892" width="47.7109375" style="26" customWidth="1"/>
    <col min="5893" max="5893" width="38.5703125" style="26" customWidth="1"/>
    <col min="5894" max="6144" width="11.42578125" style="26"/>
    <col min="6145" max="6145" width="2.42578125" style="26" customWidth="1"/>
    <col min="6146" max="6146" width="5.28515625" style="26" bestFit="1" customWidth="1"/>
    <col min="6147" max="6147" width="60.5703125" style="26" customWidth="1"/>
    <col min="6148" max="6148" width="47.7109375" style="26" customWidth="1"/>
    <col min="6149" max="6149" width="38.5703125" style="26" customWidth="1"/>
    <col min="6150" max="6400" width="11.42578125" style="26"/>
    <col min="6401" max="6401" width="2.42578125" style="26" customWidth="1"/>
    <col min="6402" max="6402" width="5.28515625" style="26" bestFit="1" customWidth="1"/>
    <col min="6403" max="6403" width="60.5703125" style="26" customWidth="1"/>
    <col min="6404" max="6404" width="47.7109375" style="26" customWidth="1"/>
    <col min="6405" max="6405" width="38.5703125" style="26" customWidth="1"/>
    <col min="6406" max="6656" width="11.42578125" style="26"/>
    <col min="6657" max="6657" width="2.42578125" style="26" customWidth="1"/>
    <col min="6658" max="6658" width="5.28515625" style="26" bestFit="1" customWidth="1"/>
    <col min="6659" max="6659" width="60.5703125" style="26" customWidth="1"/>
    <col min="6660" max="6660" width="47.7109375" style="26" customWidth="1"/>
    <col min="6661" max="6661" width="38.5703125" style="26" customWidth="1"/>
    <col min="6662" max="6912" width="11.42578125" style="26"/>
    <col min="6913" max="6913" width="2.42578125" style="26" customWidth="1"/>
    <col min="6914" max="6914" width="5.28515625" style="26" bestFit="1" customWidth="1"/>
    <col min="6915" max="6915" width="60.5703125" style="26" customWidth="1"/>
    <col min="6916" max="6916" width="47.7109375" style="26" customWidth="1"/>
    <col min="6917" max="6917" width="38.5703125" style="26" customWidth="1"/>
    <col min="6918" max="7168" width="11.42578125" style="26"/>
    <col min="7169" max="7169" width="2.42578125" style="26" customWidth="1"/>
    <col min="7170" max="7170" width="5.28515625" style="26" bestFit="1" customWidth="1"/>
    <col min="7171" max="7171" width="60.5703125" style="26" customWidth="1"/>
    <col min="7172" max="7172" width="47.7109375" style="26" customWidth="1"/>
    <col min="7173" max="7173" width="38.5703125" style="26" customWidth="1"/>
    <col min="7174" max="7424" width="11.42578125" style="26"/>
    <col min="7425" max="7425" width="2.42578125" style="26" customWidth="1"/>
    <col min="7426" max="7426" width="5.28515625" style="26" bestFit="1" customWidth="1"/>
    <col min="7427" max="7427" width="60.5703125" style="26" customWidth="1"/>
    <col min="7428" max="7428" width="47.7109375" style="26" customWidth="1"/>
    <col min="7429" max="7429" width="38.5703125" style="26" customWidth="1"/>
    <col min="7430" max="7680" width="11.42578125" style="26"/>
    <col min="7681" max="7681" width="2.42578125" style="26" customWidth="1"/>
    <col min="7682" max="7682" width="5.28515625" style="26" bestFit="1" customWidth="1"/>
    <col min="7683" max="7683" width="60.5703125" style="26" customWidth="1"/>
    <col min="7684" max="7684" width="47.7109375" style="26" customWidth="1"/>
    <col min="7685" max="7685" width="38.5703125" style="26" customWidth="1"/>
    <col min="7686" max="7936" width="11.42578125" style="26"/>
    <col min="7937" max="7937" width="2.42578125" style="26" customWidth="1"/>
    <col min="7938" max="7938" width="5.28515625" style="26" bestFit="1" customWidth="1"/>
    <col min="7939" max="7939" width="60.5703125" style="26" customWidth="1"/>
    <col min="7940" max="7940" width="47.7109375" style="26" customWidth="1"/>
    <col min="7941" max="7941" width="38.5703125" style="26" customWidth="1"/>
    <col min="7942" max="8192" width="11.42578125" style="26"/>
    <col min="8193" max="8193" width="2.42578125" style="26" customWidth="1"/>
    <col min="8194" max="8194" width="5.28515625" style="26" bestFit="1" customWidth="1"/>
    <col min="8195" max="8195" width="60.5703125" style="26" customWidth="1"/>
    <col min="8196" max="8196" width="47.7109375" style="26" customWidth="1"/>
    <col min="8197" max="8197" width="38.5703125" style="26" customWidth="1"/>
    <col min="8198" max="8448" width="11.42578125" style="26"/>
    <col min="8449" max="8449" width="2.42578125" style="26" customWidth="1"/>
    <col min="8450" max="8450" width="5.28515625" style="26" bestFit="1" customWidth="1"/>
    <col min="8451" max="8451" width="60.5703125" style="26" customWidth="1"/>
    <col min="8452" max="8452" width="47.7109375" style="26" customWidth="1"/>
    <col min="8453" max="8453" width="38.5703125" style="26" customWidth="1"/>
    <col min="8454" max="8704" width="11.42578125" style="26"/>
    <col min="8705" max="8705" width="2.42578125" style="26" customWidth="1"/>
    <col min="8706" max="8706" width="5.28515625" style="26" bestFit="1" customWidth="1"/>
    <col min="8707" max="8707" width="60.5703125" style="26" customWidth="1"/>
    <col min="8708" max="8708" width="47.7109375" style="26" customWidth="1"/>
    <col min="8709" max="8709" width="38.5703125" style="26" customWidth="1"/>
    <col min="8710" max="8960" width="11.42578125" style="26"/>
    <col min="8961" max="8961" width="2.42578125" style="26" customWidth="1"/>
    <col min="8962" max="8962" width="5.28515625" style="26" bestFit="1" customWidth="1"/>
    <col min="8963" max="8963" width="60.5703125" style="26" customWidth="1"/>
    <col min="8964" max="8964" width="47.7109375" style="26" customWidth="1"/>
    <col min="8965" max="8965" width="38.5703125" style="26" customWidth="1"/>
    <col min="8966" max="9216" width="11.42578125" style="26"/>
    <col min="9217" max="9217" width="2.42578125" style="26" customWidth="1"/>
    <col min="9218" max="9218" width="5.28515625" style="26" bestFit="1" customWidth="1"/>
    <col min="9219" max="9219" width="60.5703125" style="26" customWidth="1"/>
    <col min="9220" max="9220" width="47.7109375" style="26" customWidth="1"/>
    <col min="9221" max="9221" width="38.5703125" style="26" customWidth="1"/>
    <col min="9222" max="9472" width="11.42578125" style="26"/>
    <col min="9473" max="9473" width="2.42578125" style="26" customWidth="1"/>
    <col min="9474" max="9474" width="5.28515625" style="26" bestFit="1" customWidth="1"/>
    <col min="9475" max="9475" width="60.5703125" style="26" customWidth="1"/>
    <col min="9476" max="9476" width="47.7109375" style="26" customWidth="1"/>
    <col min="9477" max="9477" width="38.5703125" style="26" customWidth="1"/>
    <col min="9478" max="9728" width="11.42578125" style="26"/>
    <col min="9729" max="9729" width="2.42578125" style="26" customWidth="1"/>
    <col min="9730" max="9730" width="5.28515625" style="26" bestFit="1" customWidth="1"/>
    <col min="9731" max="9731" width="60.5703125" style="26" customWidth="1"/>
    <col min="9732" max="9732" width="47.7109375" style="26" customWidth="1"/>
    <col min="9733" max="9733" width="38.5703125" style="26" customWidth="1"/>
    <col min="9734" max="9984" width="11.42578125" style="26"/>
    <col min="9985" max="9985" width="2.42578125" style="26" customWidth="1"/>
    <col min="9986" max="9986" width="5.28515625" style="26" bestFit="1" customWidth="1"/>
    <col min="9987" max="9987" width="60.5703125" style="26" customWidth="1"/>
    <col min="9988" max="9988" width="47.7109375" style="26" customWidth="1"/>
    <col min="9989" max="9989" width="38.5703125" style="26" customWidth="1"/>
    <col min="9990" max="10240" width="11.42578125" style="26"/>
    <col min="10241" max="10241" width="2.42578125" style="26" customWidth="1"/>
    <col min="10242" max="10242" width="5.28515625" style="26" bestFit="1" customWidth="1"/>
    <col min="10243" max="10243" width="60.5703125" style="26" customWidth="1"/>
    <col min="10244" max="10244" width="47.7109375" style="26" customWidth="1"/>
    <col min="10245" max="10245" width="38.5703125" style="26" customWidth="1"/>
    <col min="10246" max="10496" width="11.42578125" style="26"/>
    <col min="10497" max="10497" width="2.42578125" style="26" customWidth="1"/>
    <col min="10498" max="10498" width="5.28515625" style="26" bestFit="1" customWidth="1"/>
    <col min="10499" max="10499" width="60.5703125" style="26" customWidth="1"/>
    <col min="10500" max="10500" width="47.7109375" style="26" customWidth="1"/>
    <col min="10501" max="10501" width="38.5703125" style="26" customWidth="1"/>
    <col min="10502" max="10752" width="11.42578125" style="26"/>
    <col min="10753" max="10753" width="2.42578125" style="26" customWidth="1"/>
    <col min="10754" max="10754" width="5.28515625" style="26" bestFit="1" customWidth="1"/>
    <col min="10755" max="10755" width="60.5703125" style="26" customWidth="1"/>
    <col min="10756" max="10756" width="47.7109375" style="26" customWidth="1"/>
    <col min="10757" max="10757" width="38.5703125" style="26" customWidth="1"/>
    <col min="10758" max="11008" width="11.42578125" style="26"/>
    <col min="11009" max="11009" width="2.42578125" style="26" customWidth="1"/>
    <col min="11010" max="11010" width="5.28515625" style="26" bestFit="1" customWidth="1"/>
    <col min="11011" max="11011" width="60.5703125" style="26" customWidth="1"/>
    <col min="11012" max="11012" width="47.7109375" style="26" customWidth="1"/>
    <col min="11013" max="11013" width="38.5703125" style="26" customWidth="1"/>
    <col min="11014" max="11264" width="11.42578125" style="26"/>
    <col min="11265" max="11265" width="2.42578125" style="26" customWidth="1"/>
    <col min="11266" max="11266" width="5.28515625" style="26" bestFit="1" customWidth="1"/>
    <col min="11267" max="11267" width="60.5703125" style="26" customWidth="1"/>
    <col min="11268" max="11268" width="47.7109375" style="26" customWidth="1"/>
    <col min="11269" max="11269" width="38.5703125" style="26" customWidth="1"/>
    <col min="11270" max="11520" width="11.42578125" style="26"/>
    <col min="11521" max="11521" width="2.42578125" style="26" customWidth="1"/>
    <col min="11522" max="11522" width="5.28515625" style="26" bestFit="1" customWidth="1"/>
    <col min="11523" max="11523" width="60.5703125" style="26" customWidth="1"/>
    <col min="11524" max="11524" width="47.7109375" style="26" customWidth="1"/>
    <col min="11525" max="11525" width="38.5703125" style="26" customWidth="1"/>
    <col min="11526" max="11776" width="11.42578125" style="26"/>
    <col min="11777" max="11777" width="2.42578125" style="26" customWidth="1"/>
    <col min="11778" max="11778" width="5.28515625" style="26" bestFit="1" customWidth="1"/>
    <col min="11779" max="11779" width="60.5703125" style="26" customWidth="1"/>
    <col min="11780" max="11780" width="47.7109375" style="26" customWidth="1"/>
    <col min="11781" max="11781" width="38.5703125" style="26" customWidth="1"/>
    <col min="11782" max="12032" width="11.42578125" style="26"/>
    <col min="12033" max="12033" width="2.42578125" style="26" customWidth="1"/>
    <col min="12034" max="12034" width="5.28515625" style="26" bestFit="1" customWidth="1"/>
    <col min="12035" max="12035" width="60.5703125" style="26" customWidth="1"/>
    <col min="12036" max="12036" width="47.7109375" style="26" customWidth="1"/>
    <col min="12037" max="12037" width="38.5703125" style="26" customWidth="1"/>
    <col min="12038" max="12288" width="11.42578125" style="26"/>
    <col min="12289" max="12289" width="2.42578125" style="26" customWidth="1"/>
    <col min="12290" max="12290" width="5.28515625" style="26" bestFit="1" customWidth="1"/>
    <col min="12291" max="12291" width="60.5703125" style="26" customWidth="1"/>
    <col min="12292" max="12292" width="47.7109375" style="26" customWidth="1"/>
    <col min="12293" max="12293" width="38.5703125" style="26" customWidth="1"/>
    <col min="12294" max="12544" width="11.42578125" style="26"/>
    <col min="12545" max="12545" width="2.42578125" style="26" customWidth="1"/>
    <col min="12546" max="12546" width="5.28515625" style="26" bestFit="1" customWidth="1"/>
    <col min="12547" max="12547" width="60.5703125" style="26" customWidth="1"/>
    <col min="12548" max="12548" width="47.7109375" style="26" customWidth="1"/>
    <col min="12549" max="12549" width="38.5703125" style="26" customWidth="1"/>
    <col min="12550" max="12800" width="11.42578125" style="26"/>
    <col min="12801" max="12801" width="2.42578125" style="26" customWidth="1"/>
    <col min="12802" max="12802" width="5.28515625" style="26" bestFit="1" customWidth="1"/>
    <col min="12803" max="12803" width="60.5703125" style="26" customWidth="1"/>
    <col min="12804" max="12804" width="47.7109375" style="26" customWidth="1"/>
    <col min="12805" max="12805" width="38.5703125" style="26" customWidth="1"/>
    <col min="12806" max="13056" width="11.42578125" style="26"/>
    <col min="13057" max="13057" width="2.42578125" style="26" customWidth="1"/>
    <col min="13058" max="13058" width="5.28515625" style="26" bestFit="1" customWidth="1"/>
    <col min="13059" max="13059" width="60.5703125" style="26" customWidth="1"/>
    <col min="13060" max="13060" width="47.7109375" style="26" customWidth="1"/>
    <col min="13061" max="13061" width="38.5703125" style="26" customWidth="1"/>
    <col min="13062" max="13312" width="11.42578125" style="26"/>
    <col min="13313" max="13313" width="2.42578125" style="26" customWidth="1"/>
    <col min="13314" max="13314" width="5.28515625" style="26" bestFit="1" customWidth="1"/>
    <col min="13315" max="13315" width="60.5703125" style="26" customWidth="1"/>
    <col min="13316" max="13316" width="47.7109375" style="26" customWidth="1"/>
    <col min="13317" max="13317" width="38.5703125" style="26" customWidth="1"/>
    <col min="13318" max="13568" width="11.42578125" style="26"/>
    <col min="13569" max="13569" width="2.42578125" style="26" customWidth="1"/>
    <col min="13570" max="13570" width="5.28515625" style="26" bestFit="1" customWidth="1"/>
    <col min="13571" max="13571" width="60.5703125" style="26" customWidth="1"/>
    <col min="13572" max="13572" width="47.7109375" style="26" customWidth="1"/>
    <col min="13573" max="13573" width="38.5703125" style="26" customWidth="1"/>
    <col min="13574" max="13824" width="11.42578125" style="26"/>
    <col min="13825" max="13825" width="2.42578125" style="26" customWidth="1"/>
    <col min="13826" max="13826" width="5.28515625" style="26" bestFit="1" customWidth="1"/>
    <col min="13827" max="13827" width="60.5703125" style="26" customWidth="1"/>
    <col min="13828" max="13828" width="47.7109375" style="26" customWidth="1"/>
    <col min="13829" max="13829" width="38.5703125" style="26" customWidth="1"/>
    <col min="13830" max="14080" width="11.42578125" style="26"/>
    <col min="14081" max="14081" width="2.42578125" style="26" customWidth="1"/>
    <col min="14082" max="14082" width="5.28515625" style="26" bestFit="1" customWidth="1"/>
    <col min="14083" max="14083" width="60.5703125" style="26" customWidth="1"/>
    <col min="14084" max="14084" width="47.7109375" style="26" customWidth="1"/>
    <col min="14085" max="14085" width="38.5703125" style="26" customWidth="1"/>
    <col min="14086" max="14336" width="11.42578125" style="26"/>
    <col min="14337" max="14337" width="2.42578125" style="26" customWidth="1"/>
    <col min="14338" max="14338" width="5.28515625" style="26" bestFit="1" customWidth="1"/>
    <col min="14339" max="14339" width="60.5703125" style="26" customWidth="1"/>
    <col min="14340" max="14340" width="47.7109375" style="26" customWidth="1"/>
    <col min="14341" max="14341" width="38.5703125" style="26" customWidth="1"/>
    <col min="14342" max="14592" width="11.42578125" style="26"/>
    <col min="14593" max="14593" width="2.42578125" style="26" customWidth="1"/>
    <col min="14594" max="14594" width="5.28515625" style="26" bestFit="1" customWidth="1"/>
    <col min="14595" max="14595" width="60.5703125" style="26" customWidth="1"/>
    <col min="14596" max="14596" width="47.7109375" style="26" customWidth="1"/>
    <col min="14597" max="14597" width="38.5703125" style="26" customWidth="1"/>
    <col min="14598" max="14848" width="11.42578125" style="26"/>
    <col min="14849" max="14849" width="2.42578125" style="26" customWidth="1"/>
    <col min="14850" max="14850" width="5.28515625" style="26" bestFit="1" customWidth="1"/>
    <col min="14851" max="14851" width="60.5703125" style="26" customWidth="1"/>
    <col min="14852" max="14852" width="47.7109375" style="26" customWidth="1"/>
    <col min="14853" max="14853" width="38.5703125" style="26" customWidth="1"/>
    <col min="14854" max="15104" width="11.42578125" style="26"/>
    <col min="15105" max="15105" width="2.42578125" style="26" customWidth="1"/>
    <col min="15106" max="15106" width="5.28515625" style="26" bestFit="1" customWidth="1"/>
    <col min="15107" max="15107" width="60.5703125" style="26" customWidth="1"/>
    <col min="15108" max="15108" width="47.7109375" style="26" customWidth="1"/>
    <col min="15109" max="15109" width="38.5703125" style="26" customWidth="1"/>
    <col min="15110" max="15360" width="11.42578125" style="26"/>
    <col min="15361" max="15361" width="2.42578125" style="26" customWidth="1"/>
    <col min="15362" max="15362" width="5.28515625" style="26" bestFit="1" customWidth="1"/>
    <col min="15363" max="15363" width="60.5703125" style="26" customWidth="1"/>
    <col min="15364" max="15364" width="47.7109375" style="26" customWidth="1"/>
    <col min="15365" max="15365" width="38.5703125" style="26" customWidth="1"/>
    <col min="15366" max="15616" width="11.42578125" style="26"/>
    <col min="15617" max="15617" width="2.42578125" style="26" customWidth="1"/>
    <col min="15618" max="15618" width="5.28515625" style="26" bestFit="1" customWidth="1"/>
    <col min="15619" max="15619" width="60.5703125" style="26" customWidth="1"/>
    <col min="15620" max="15620" width="47.7109375" style="26" customWidth="1"/>
    <col min="15621" max="15621" width="38.5703125" style="26" customWidth="1"/>
    <col min="15622" max="15872" width="11.42578125" style="26"/>
    <col min="15873" max="15873" width="2.42578125" style="26" customWidth="1"/>
    <col min="15874" max="15874" width="5.28515625" style="26" bestFit="1" customWidth="1"/>
    <col min="15875" max="15875" width="60.5703125" style="26" customWidth="1"/>
    <col min="15876" max="15876" width="47.7109375" style="26" customWidth="1"/>
    <col min="15877" max="15877" width="38.5703125" style="26" customWidth="1"/>
    <col min="15878" max="16128" width="11.42578125" style="26"/>
    <col min="16129" max="16129" width="2.42578125" style="26" customWidth="1"/>
    <col min="16130" max="16130" width="5.28515625" style="26" bestFit="1" customWidth="1"/>
    <col min="16131" max="16131" width="60.5703125" style="26" customWidth="1"/>
    <col min="16132" max="16132" width="47.7109375" style="26" customWidth="1"/>
    <col min="16133" max="16133" width="38.5703125" style="26" customWidth="1"/>
    <col min="16134" max="16384" width="11.42578125" style="26"/>
  </cols>
  <sheetData>
    <row r="2" spans="2:5">
      <c r="B2" s="26" t="s">
        <v>2</v>
      </c>
      <c r="C2" s="27" t="s">
        <v>3</v>
      </c>
      <c r="D2" s="27" t="s">
        <v>4</v>
      </c>
    </row>
    <row r="3" spans="2:5">
      <c r="B3" s="26">
        <v>1</v>
      </c>
      <c r="C3" s="28">
        <v>1</v>
      </c>
      <c r="D3" s="28">
        <v>2</v>
      </c>
      <c r="E3" s="28"/>
    </row>
    <row r="4" spans="2:5">
      <c r="B4" s="26">
        <v>2</v>
      </c>
      <c r="C4" s="27" t="s">
        <v>5</v>
      </c>
      <c r="D4" s="27" t="s">
        <v>6</v>
      </c>
    </row>
    <row r="5" spans="2:5" ht="12">
      <c r="B5" s="26">
        <f t="shared" ref="B5:B68" si="0">B4+1</f>
        <v>3</v>
      </c>
      <c r="C5" s="27" t="s">
        <v>7</v>
      </c>
      <c r="D5" s="27" t="s">
        <v>8</v>
      </c>
    </row>
    <row r="6" spans="2:5">
      <c r="B6" s="26">
        <f t="shared" si="0"/>
        <v>4</v>
      </c>
      <c r="C6" s="27" t="s">
        <v>9</v>
      </c>
      <c r="D6" s="27" t="s">
        <v>10</v>
      </c>
    </row>
    <row r="7" spans="2:5">
      <c r="B7" s="26">
        <f t="shared" si="0"/>
        <v>5</v>
      </c>
      <c r="C7" s="27" t="s">
        <v>11</v>
      </c>
      <c r="D7" s="27" t="s">
        <v>12</v>
      </c>
    </row>
    <row r="8" spans="2:5">
      <c r="B8" s="26">
        <f t="shared" si="0"/>
        <v>6</v>
      </c>
      <c r="C8" s="27" t="s">
        <v>13</v>
      </c>
      <c r="D8" s="27" t="s">
        <v>14</v>
      </c>
    </row>
    <row r="9" spans="2:5">
      <c r="B9" s="26">
        <f t="shared" si="0"/>
        <v>7</v>
      </c>
      <c r="C9" s="27" t="s">
        <v>15</v>
      </c>
      <c r="D9" s="27" t="s">
        <v>16</v>
      </c>
    </row>
    <row r="10" spans="2:5">
      <c r="B10" s="26">
        <f t="shared" si="0"/>
        <v>8</v>
      </c>
      <c r="C10" s="27" t="s">
        <v>17</v>
      </c>
      <c r="D10" s="27" t="s">
        <v>18</v>
      </c>
    </row>
    <row r="11" spans="2:5">
      <c r="B11" s="26">
        <f t="shared" si="0"/>
        <v>9</v>
      </c>
      <c r="C11" s="27" t="s">
        <v>19</v>
      </c>
      <c r="D11" s="27" t="s">
        <v>20</v>
      </c>
    </row>
    <row r="12" spans="2:5">
      <c r="B12" s="26">
        <f t="shared" si="0"/>
        <v>10</v>
      </c>
      <c r="C12" s="27" t="s">
        <v>21</v>
      </c>
      <c r="D12" s="27" t="s">
        <v>22</v>
      </c>
    </row>
    <row r="13" spans="2:5">
      <c r="B13" s="26">
        <f t="shared" si="0"/>
        <v>11</v>
      </c>
      <c r="C13" s="27" t="s">
        <v>23</v>
      </c>
      <c r="D13" s="27" t="s">
        <v>24</v>
      </c>
    </row>
    <row r="14" spans="2:5">
      <c r="B14" s="26">
        <f t="shared" si="0"/>
        <v>12</v>
      </c>
      <c r="C14" s="27" t="s">
        <v>25</v>
      </c>
      <c r="D14" s="27" t="s">
        <v>26</v>
      </c>
    </row>
    <row r="15" spans="2:5">
      <c r="B15" s="26">
        <f t="shared" si="0"/>
        <v>13</v>
      </c>
      <c r="C15" s="27" t="s">
        <v>27</v>
      </c>
      <c r="D15" s="27" t="s">
        <v>28</v>
      </c>
    </row>
    <row r="16" spans="2:5">
      <c r="B16" s="26">
        <f t="shared" si="0"/>
        <v>14</v>
      </c>
      <c r="C16" s="27" t="s">
        <v>29</v>
      </c>
      <c r="D16" s="27" t="s">
        <v>30</v>
      </c>
    </row>
    <row r="17" spans="2:4">
      <c r="B17" s="26">
        <f t="shared" si="0"/>
        <v>15</v>
      </c>
      <c r="C17" s="27" t="s">
        <v>31</v>
      </c>
      <c r="D17" s="27" t="s">
        <v>31</v>
      </c>
    </row>
    <row r="18" spans="2:4">
      <c r="B18" s="26">
        <f t="shared" si="0"/>
        <v>16</v>
      </c>
      <c r="C18" s="27" t="s">
        <v>32</v>
      </c>
      <c r="D18" s="27" t="s">
        <v>32</v>
      </c>
    </row>
    <row r="19" spans="2:4">
      <c r="B19" s="26">
        <f t="shared" si="0"/>
        <v>17</v>
      </c>
      <c r="C19" s="27" t="s">
        <v>33</v>
      </c>
      <c r="D19" s="27" t="s">
        <v>33</v>
      </c>
    </row>
    <row r="20" spans="2:4">
      <c r="B20" s="26">
        <f t="shared" si="0"/>
        <v>18</v>
      </c>
      <c r="C20" s="27" t="s">
        <v>34</v>
      </c>
      <c r="D20" s="27" t="s">
        <v>35</v>
      </c>
    </row>
    <row r="21" spans="2:4">
      <c r="B21" s="26">
        <f t="shared" si="0"/>
        <v>19</v>
      </c>
      <c r="C21" s="27" t="s">
        <v>36</v>
      </c>
      <c r="D21" s="27" t="s">
        <v>36</v>
      </c>
    </row>
    <row r="22" spans="2:4">
      <c r="B22" s="26">
        <f t="shared" si="0"/>
        <v>20</v>
      </c>
      <c r="C22" s="27" t="s">
        <v>37</v>
      </c>
      <c r="D22" s="27" t="s">
        <v>38</v>
      </c>
    </row>
    <row r="23" spans="2:4">
      <c r="B23" s="26">
        <f t="shared" si="0"/>
        <v>21</v>
      </c>
      <c r="C23" s="27" t="s">
        <v>39</v>
      </c>
      <c r="D23" s="27" t="s">
        <v>40</v>
      </c>
    </row>
    <row r="24" spans="2:4">
      <c r="B24" s="26">
        <f t="shared" si="0"/>
        <v>22</v>
      </c>
      <c r="C24" s="27" t="s">
        <v>41</v>
      </c>
      <c r="D24" s="27" t="s">
        <v>41</v>
      </c>
    </row>
    <row r="25" spans="2:4">
      <c r="B25" s="26">
        <f t="shared" si="0"/>
        <v>23</v>
      </c>
      <c r="C25" s="27" t="s">
        <v>42</v>
      </c>
      <c r="D25" s="27" t="s">
        <v>42</v>
      </c>
    </row>
    <row r="26" spans="2:4">
      <c r="B26" s="26">
        <f t="shared" si="0"/>
        <v>24</v>
      </c>
      <c r="C26" s="27" t="s">
        <v>43</v>
      </c>
      <c r="D26" s="27" t="s">
        <v>43</v>
      </c>
    </row>
    <row r="27" spans="2:4">
      <c r="B27" s="26">
        <f t="shared" si="0"/>
        <v>25</v>
      </c>
      <c r="C27" s="27" t="s">
        <v>44</v>
      </c>
      <c r="D27" s="27" t="s">
        <v>45</v>
      </c>
    </row>
    <row r="28" spans="2:4">
      <c r="B28" s="26">
        <f t="shared" si="0"/>
        <v>26</v>
      </c>
      <c r="C28" s="27" t="s">
        <v>46</v>
      </c>
      <c r="D28" s="27" t="s">
        <v>47</v>
      </c>
    </row>
    <row r="29" spans="2:4">
      <c r="B29" s="26">
        <f t="shared" si="0"/>
        <v>27</v>
      </c>
      <c r="C29" s="27" t="s">
        <v>48</v>
      </c>
      <c r="D29" s="27" t="s">
        <v>49</v>
      </c>
    </row>
    <row r="30" spans="2:4">
      <c r="B30" s="26">
        <f t="shared" si="0"/>
        <v>28</v>
      </c>
      <c r="C30" s="27" t="s">
        <v>50</v>
      </c>
      <c r="D30" s="27" t="s">
        <v>51</v>
      </c>
    </row>
    <row r="31" spans="2:4" ht="12.75" customHeight="1">
      <c r="B31" s="26">
        <f t="shared" si="0"/>
        <v>29</v>
      </c>
      <c r="C31" s="27" t="s">
        <v>52</v>
      </c>
      <c r="D31" s="29" t="s">
        <v>53</v>
      </c>
    </row>
    <row r="32" spans="2:4">
      <c r="B32" s="26">
        <f t="shared" si="0"/>
        <v>30</v>
      </c>
      <c r="C32" s="27" t="s">
        <v>54</v>
      </c>
      <c r="D32" s="27" t="s">
        <v>55</v>
      </c>
    </row>
    <row r="33" spans="2:4">
      <c r="B33" s="26">
        <f t="shared" si="0"/>
        <v>31</v>
      </c>
      <c r="C33" s="27" t="s">
        <v>56</v>
      </c>
      <c r="D33" s="27" t="s">
        <v>57</v>
      </c>
    </row>
    <row r="34" spans="2:4">
      <c r="B34" s="26">
        <f t="shared" si="0"/>
        <v>32</v>
      </c>
      <c r="C34" s="27" t="s">
        <v>58</v>
      </c>
      <c r="D34" s="27" t="s">
        <v>59</v>
      </c>
    </row>
    <row r="35" spans="2:4">
      <c r="B35" s="26">
        <f t="shared" si="0"/>
        <v>33</v>
      </c>
      <c r="C35" s="27" t="s">
        <v>60</v>
      </c>
      <c r="D35" s="27" t="s">
        <v>61</v>
      </c>
    </row>
    <row r="36" spans="2:4" ht="14.25">
      <c r="B36" s="26">
        <f t="shared" si="0"/>
        <v>34</v>
      </c>
      <c r="C36" s="27" t="s">
        <v>62</v>
      </c>
      <c r="D36" s="27" t="s">
        <v>63</v>
      </c>
    </row>
    <row r="37" spans="2:4" ht="14.25" customHeight="1">
      <c r="B37" s="26">
        <f t="shared" si="0"/>
        <v>35</v>
      </c>
      <c r="C37" s="27" t="s">
        <v>64</v>
      </c>
      <c r="D37" s="27" t="s">
        <v>65</v>
      </c>
    </row>
    <row r="38" spans="2:4" ht="14.25">
      <c r="B38" s="26">
        <f t="shared" si="0"/>
        <v>36</v>
      </c>
      <c r="C38" s="27" t="s">
        <v>66</v>
      </c>
      <c r="D38" s="27" t="s">
        <v>67</v>
      </c>
    </row>
    <row r="39" spans="2:4">
      <c r="B39" s="26">
        <f t="shared" si="0"/>
        <v>37</v>
      </c>
      <c r="C39" s="27" t="s">
        <v>68</v>
      </c>
      <c r="D39" s="27" t="s">
        <v>69</v>
      </c>
    </row>
    <row r="40" spans="2:4">
      <c r="B40" s="26">
        <f t="shared" si="0"/>
        <v>38</v>
      </c>
      <c r="C40" s="27" t="s">
        <v>70</v>
      </c>
      <c r="D40" s="27" t="s">
        <v>71</v>
      </c>
    </row>
    <row r="41" spans="2:4">
      <c r="B41" s="26">
        <f t="shared" si="0"/>
        <v>39</v>
      </c>
      <c r="C41" s="27" t="s">
        <v>72</v>
      </c>
      <c r="D41" s="27" t="s">
        <v>73</v>
      </c>
    </row>
    <row r="42" spans="2:4">
      <c r="B42" s="26">
        <f t="shared" si="0"/>
        <v>40</v>
      </c>
      <c r="C42" s="27" t="s">
        <v>74</v>
      </c>
      <c r="D42" s="27" t="s">
        <v>75</v>
      </c>
    </row>
    <row r="43" spans="2:4">
      <c r="B43" s="26">
        <f t="shared" si="0"/>
        <v>41</v>
      </c>
      <c r="C43" s="27" t="s">
        <v>76</v>
      </c>
      <c r="D43" s="27" t="s">
        <v>77</v>
      </c>
    </row>
    <row r="44" spans="2:4">
      <c r="B44" s="26">
        <f t="shared" si="0"/>
        <v>42</v>
      </c>
      <c r="C44" s="27" t="s">
        <v>78</v>
      </c>
      <c r="D44" s="27" t="s">
        <v>79</v>
      </c>
    </row>
    <row r="45" spans="2:4">
      <c r="B45" s="26">
        <f t="shared" si="0"/>
        <v>43</v>
      </c>
      <c r="C45" s="27" t="s">
        <v>80</v>
      </c>
      <c r="D45" s="27" t="s">
        <v>81</v>
      </c>
    </row>
    <row r="46" spans="2:4">
      <c r="B46" s="26">
        <f t="shared" si="0"/>
        <v>44</v>
      </c>
      <c r="C46" s="27" t="s">
        <v>82</v>
      </c>
      <c r="D46" s="27" t="s">
        <v>83</v>
      </c>
    </row>
    <row r="47" spans="2:4">
      <c r="B47" s="26">
        <f t="shared" si="0"/>
        <v>45</v>
      </c>
      <c r="C47" s="27" t="s">
        <v>84</v>
      </c>
      <c r="D47" s="27" t="s">
        <v>85</v>
      </c>
    </row>
    <row r="48" spans="2:4">
      <c r="B48" s="26">
        <f t="shared" si="0"/>
        <v>46</v>
      </c>
      <c r="C48" s="27" t="s">
        <v>86</v>
      </c>
      <c r="D48" s="27" t="s">
        <v>87</v>
      </c>
    </row>
    <row r="49" spans="2:6">
      <c r="B49" s="26">
        <f t="shared" si="0"/>
        <v>47</v>
      </c>
      <c r="C49" s="27" t="s">
        <v>88</v>
      </c>
      <c r="D49" s="27" t="s">
        <v>89</v>
      </c>
    </row>
    <row r="50" spans="2:6">
      <c r="B50" s="26">
        <f t="shared" si="0"/>
        <v>48</v>
      </c>
      <c r="C50" s="27" t="s">
        <v>90</v>
      </c>
      <c r="D50" s="27" t="s">
        <v>91</v>
      </c>
    </row>
    <row r="51" spans="2:6">
      <c r="B51" s="26">
        <f t="shared" si="0"/>
        <v>49</v>
      </c>
      <c r="C51" s="27" t="s">
        <v>92</v>
      </c>
      <c r="D51" s="27" t="s">
        <v>93</v>
      </c>
    </row>
    <row r="52" spans="2:6">
      <c r="B52" s="26">
        <f t="shared" si="0"/>
        <v>50</v>
      </c>
      <c r="C52" s="27" t="s">
        <v>94</v>
      </c>
      <c r="D52" s="27" t="s">
        <v>95</v>
      </c>
    </row>
    <row r="53" spans="2:6" ht="25.5">
      <c r="B53" s="26">
        <f t="shared" si="0"/>
        <v>51</v>
      </c>
      <c r="C53" s="30" t="s">
        <v>96</v>
      </c>
      <c r="D53" s="31" t="s">
        <v>97</v>
      </c>
      <c r="E53" s="32"/>
      <c r="F53" s="32"/>
    </row>
    <row r="54" spans="2:6">
      <c r="B54" s="26">
        <f t="shared" si="0"/>
        <v>52</v>
      </c>
      <c r="C54" s="27" t="s">
        <v>98</v>
      </c>
      <c r="D54" s="27" t="s">
        <v>99</v>
      </c>
    </row>
    <row r="55" spans="2:6">
      <c r="B55" s="26">
        <f t="shared" si="0"/>
        <v>53</v>
      </c>
      <c r="C55" s="27" t="s">
        <v>100</v>
      </c>
      <c r="D55" s="27" t="s">
        <v>101</v>
      </c>
    </row>
    <row r="56" spans="2:6" ht="12.75">
      <c r="B56" s="26">
        <f t="shared" si="0"/>
        <v>54</v>
      </c>
      <c r="C56" s="33" t="s">
        <v>102</v>
      </c>
      <c r="D56" s="33" t="s">
        <v>103</v>
      </c>
      <c r="E56" s="32"/>
      <c r="F56" s="32"/>
    </row>
    <row r="57" spans="2:6">
      <c r="B57" s="26">
        <f t="shared" si="0"/>
        <v>55</v>
      </c>
      <c r="C57" s="27" t="s">
        <v>104</v>
      </c>
      <c r="D57" s="27" t="s">
        <v>105</v>
      </c>
    </row>
    <row r="58" spans="2:6" ht="12.75">
      <c r="B58" s="26">
        <f t="shared" si="0"/>
        <v>56</v>
      </c>
      <c r="C58" s="33" t="s">
        <v>106</v>
      </c>
      <c r="D58" s="33" t="s">
        <v>107</v>
      </c>
      <c r="E58" s="32"/>
      <c r="F58" s="32"/>
    </row>
    <row r="59" spans="2:6" ht="12.75">
      <c r="B59" s="26">
        <f t="shared" si="0"/>
        <v>57</v>
      </c>
      <c r="C59" s="27" t="s">
        <v>108</v>
      </c>
      <c r="D59" s="33" t="s">
        <v>109</v>
      </c>
    </row>
    <row r="60" spans="2:6" ht="12.75">
      <c r="B60" s="26">
        <f t="shared" si="0"/>
        <v>58</v>
      </c>
      <c r="C60" s="27" t="s">
        <v>110</v>
      </c>
      <c r="D60" s="33" t="s">
        <v>111</v>
      </c>
      <c r="E60" s="32"/>
      <c r="F60" s="32"/>
    </row>
    <row r="61" spans="2:6" ht="12">
      <c r="B61" s="26">
        <f t="shared" si="0"/>
        <v>59</v>
      </c>
      <c r="C61" s="27" t="s">
        <v>112</v>
      </c>
      <c r="D61" s="27" t="s">
        <v>113</v>
      </c>
    </row>
    <row r="62" spans="2:6" ht="12">
      <c r="B62" s="26">
        <f t="shared" si="0"/>
        <v>60</v>
      </c>
      <c r="C62" s="27" t="s">
        <v>114</v>
      </c>
      <c r="D62" s="27" t="s">
        <v>115</v>
      </c>
    </row>
    <row r="63" spans="2:6">
      <c r="B63" s="26">
        <f t="shared" si="0"/>
        <v>61</v>
      </c>
      <c r="C63" s="27" t="s">
        <v>116</v>
      </c>
      <c r="D63" s="27" t="s">
        <v>117</v>
      </c>
    </row>
    <row r="64" spans="2:6">
      <c r="B64" s="26">
        <f t="shared" si="0"/>
        <v>62</v>
      </c>
      <c r="C64" s="27" t="s">
        <v>56</v>
      </c>
      <c r="D64" s="27" t="s">
        <v>118</v>
      </c>
    </row>
    <row r="65" spans="2:4">
      <c r="B65" s="26">
        <f t="shared" si="0"/>
        <v>63</v>
      </c>
      <c r="C65" s="27" t="s">
        <v>119</v>
      </c>
      <c r="D65" s="27" t="s">
        <v>120</v>
      </c>
    </row>
    <row r="66" spans="2:4">
      <c r="B66" s="26">
        <f t="shared" si="0"/>
        <v>64</v>
      </c>
      <c r="C66" s="27" t="s">
        <v>121</v>
      </c>
      <c r="D66" s="27" t="s">
        <v>122</v>
      </c>
    </row>
    <row r="67" spans="2:4" ht="38.25">
      <c r="B67" s="26">
        <f t="shared" si="0"/>
        <v>65</v>
      </c>
      <c r="C67" s="30" t="s">
        <v>123</v>
      </c>
      <c r="D67" s="30" t="s">
        <v>124</v>
      </c>
    </row>
    <row r="68" spans="2:4" ht="25.5">
      <c r="B68" s="26">
        <f t="shared" si="0"/>
        <v>66</v>
      </c>
      <c r="C68" s="30" t="s">
        <v>125</v>
      </c>
      <c r="D68" s="30" t="s">
        <v>126</v>
      </c>
    </row>
    <row r="69" spans="2:4">
      <c r="B69" s="26">
        <f t="shared" ref="B69:B132" si="1">B68+1</f>
        <v>67</v>
      </c>
      <c r="C69" s="27" t="s">
        <v>127</v>
      </c>
      <c r="D69" s="27" t="s">
        <v>128</v>
      </c>
    </row>
    <row r="70" spans="2:4">
      <c r="B70" s="26">
        <f t="shared" si="1"/>
        <v>68</v>
      </c>
      <c r="C70" s="27" t="s">
        <v>129</v>
      </c>
      <c r="D70" s="27" t="s">
        <v>130</v>
      </c>
    </row>
    <row r="71" spans="2:4">
      <c r="B71" s="26">
        <f t="shared" si="1"/>
        <v>69</v>
      </c>
      <c r="C71" s="27" t="s">
        <v>131</v>
      </c>
      <c r="D71" s="27" t="s">
        <v>132</v>
      </c>
    </row>
    <row r="72" spans="2:4">
      <c r="B72" s="26">
        <f t="shared" si="1"/>
        <v>70</v>
      </c>
      <c r="C72" s="27" t="s">
        <v>133</v>
      </c>
      <c r="D72" s="27" t="s">
        <v>134</v>
      </c>
    </row>
    <row r="73" spans="2:4">
      <c r="B73" s="26">
        <f t="shared" si="1"/>
        <v>71</v>
      </c>
      <c r="C73" s="27" t="s">
        <v>135</v>
      </c>
      <c r="D73" s="27" t="s">
        <v>136</v>
      </c>
    </row>
    <row r="74" spans="2:4" ht="12.75">
      <c r="B74" s="26">
        <f t="shared" si="1"/>
        <v>72</v>
      </c>
      <c r="C74" s="34" t="s">
        <v>137</v>
      </c>
      <c r="D74" s="34" t="s">
        <v>138</v>
      </c>
    </row>
    <row r="75" spans="2:4">
      <c r="B75" s="26">
        <f t="shared" si="1"/>
        <v>73</v>
      </c>
      <c r="C75" s="27" t="s">
        <v>139</v>
      </c>
      <c r="D75" s="27" t="s">
        <v>140</v>
      </c>
    </row>
    <row r="76" spans="2:4">
      <c r="B76" s="26">
        <f t="shared" si="1"/>
        <v>74</v>
      </c>
      <c r="C76" s="27" t="s">
        <v>141</v>
      </c>
      <c r="D76" s="27" t="s">
        <v>142</v>
      </c>
    </row>
    <row r="77" spans="2:4">
      <c r="B77" s="26">
        <f t="shared" si="1"/>
        <v>75</v>
      </c>
      <c r="C77" s="27" t="s">
        <v>143</v>
      </c>
      <c r="D77" s="27" t="s">
        <v>144</v>
      </c>
    </row>
    <row r="78" spans="2:4">
      <c r="B78" s="26">
        <f t="shared" si="1"/>
        <v>76</v>
      </c>
      <c r="C78" s="27" t="s">
        <v>145</v>
      </c>
      <c r="D78" s="27" t="s">
        <v>146</v>
      </c>
    </row>
    <row r="79" spans="2:4">
      <c r="B79" s="26">
        <f t="shared" si="1"/>
        <v>77</v>
      </c>
      <c r="C79" s="27" t="s">
        <v>147</v>
      </c>
      <c r="D79" s="27" t="s">
        <v>148</v>
      </c>
    </row>
    <row r="80" spans="2:4">
      <c r="B80" s="26">
        <f t="shared" si="1"/>
        <v>78</v>
      </c>
      <c r="C80" s="27" t="s">
        <v>149</v>
      </c>
      <c r="D80" s="27" t="s">
        <v>150</v>
      </c>
    </row>
    <row r="81" spans="2:4">
      <c r="B81" s="26">
        <f t="shared" si="1"/>
        <v>79</v>
      </c>
      <c r="C81" s="27" t="s">
        <v>151</v>
      </c>
      <c r="D81" s="27" t="s">
        <v>152</v>
      </c>
    </row>
    <row r="82" spans="2:4">
      <c r="B82" s="26">
        <f t="shared" si="1"/>
        <v>80</v>
      </c>
      <c r="C82" s="27" t="s">
        <v>153</v>
      </c>
      <c r="D82" s="27" t="s">
        <v>154</v>
      </c>
    </row>
    <row r="83" spans="2:4">
      <c r="B83" s="26">
        <f t="shared" si="1"/>
        <v>81</v>
      </c>
      <c r="C83" s="27" t="s">
        <v>155</v>
      </c>
      <c r="D83" s="27" t="s">
        <v>156</v>
      </c>
    </row>
    <row r="84" spans="2:4">
      <c r="B84" s="26">
        <f t="shared" si="1"/>
        <v>82</v>
      </c>
      <c r="C84" s="27" t="s">
        <v>157</v>
      </c>
      <c r="D84" s="27" t="s">
        <v>158</v>
      </c>
    </row>
    <row r="85" spans="2:4">
      <c r="B85" s="26">
        <f t="shared" si="1"/>
        <v>83</v>
      </c>
      <c r="C85" s="27" t="s">
        <v>159</v>
      </c>
      <c r="D85" s="27" t="s">
        <v>160</v>
      </c>
    </row>
    <row r="86" spans="2:4">
      <c r="B86" s="26">
        <f t="shared" si="1"/>
        <v>84</v>
      </c>
      <c r="C86" s="27" t="s">
        <v>161</v>
      </c>
      <c r="D86" s="27" t="s">
        <v>162</v>
      </c>
    </row>
    <row r="87" spans="2:4" ht="25.5">
      <c r="B87" s="26">
        <f t="shared" si="1"/>
        <v>85</v>
      </c>
      <c r="C87" s="34" t="s">
        <v>163</v>
      </c>
      <c r="D87" s="34" t="s">
        <v>164</v>
      </c>
    </row>
    <row r="88" spans="2:4">
      <c r="B88" s="26">
        <f t="shared" si="1"/>
        <v>86</v>
      </c>
      <c r="C88" s="27" t="s">
        <v>165</v>
      </c>
      <c r="D88" s="27" t="s">
        <v>166</v>
      </c>
    </row>
    <row r="89" spans="2:4">
      <c r="B89" s="26">
        <f t="shared" si="1"/>
        <v>87</v>
      </c>
      <c r="C89" s="27" t="s">
        <v>167</v>
      </c>
      <c r="D89" s="27" t="s">
        <v>168</v>
      </c>
    </row>
    <row r="90" spans="2:4">
      <c r="B90" s="26">
        <f t="shared" si="1"/>
        <v>88</v>
      </c>
      <c r="C90" s="27" t="s">
        <v>108</v>
      </c>
      <c r="D90" s="27" t="s">
        <v>169</v>
      </c>
    </row>
    <row r="91" spans="2:4">
      <c r="B91" s="26">
        <f t="shared" si="1"/>
        <v>89</v>
      </c>
      <c r="C91" s="27" t="s">
        <v>170</v>
      </c>
      <c r="D91" s="27" t="s">
        <v>171</v>
      </c>
    </row>
    <row r="92" spans="2:4">
      <c r="B92" s="26">
        <f t="shared" si="1"/>
        <v>90</v>
      </c>
      <c r="C92" s="27" t="s">
        <v>172</v>
      </c>
      <c r="D92" s="27" t="s">
        <v>173</v>
      </c>
    </row>
    <row r="93" spans="2:4">
      <c r="B93" s="26">
        <f t="shared" si="1"/>
        <v>91</v>
      </c>
      <c r="C93" s="27" t="s">
        <v>174</v>
      </c>
      <c r="D93" s="27" t="s">
        <v>175</v>
      </c>
    </row>
    <row r="94" spans="2:4">
      <c r="B94" s="26">
        <f t="shared" si="1"/>
        <v>92</v>
      </c>
      <c r="C94" s="27" t="s">
        <v>176</v>
      </c>
      <c r="D94" s="27" t="s">
        <v>177</v>
      </c>
    </row>
    <row r="95" spans="2:4">
      <c r="B95" s="26">
        <f t="shared" si="1"/>
        <v>93</v>
      </c>
      <c r="C95" s="27" t="s">
        <v>178</v>
      </c>
      <c r="D95" s="27" t="s">
        <v>179</v>
      </c>
    </row>
    <row r="96" spans="2:4">
      <c r="B96" s="26">
        <f t="shared" si="1"/>
        <v>94</v>
      </c>
      <c r="C96" s="27" t="s">
        <v>180</v>
      </c>
      <c r="D96" s="27" t="s">
        <v>181</v>
      </c>
    </row>
    <row r="97" spans="2:6" ht="12.75">
      <c r="B97" s="26">
        <f t="shared" si="1"/>
        <v>95</v>
      </c>
      <c r="C97" s="35" t="s">
        <v>80</v>
      </c>
      <c r="D97" s="27" t="s">
        <v>182</v>
      </c>
    </row>
    <row r="98" spans="2:6" ht="12">
      <c r="B98" s="26">
        <f t="shared" si="1"/>
        <v>96</v>
      </c>
      <c r="C98" s="27" t="s">
        <v>183</v>
      </c>
      <c r="D98" s="27" t="s">
        <v>184</v>
      </c>
    </row>
    <row r="99" spans="2:6" ht="12">
      <c r="B99" s="26">
        <f t="shared" si="1"/>
        <v>97</v>
      </c>
      <c r="C99" s="27" t="s">
        <v>185</v>
      </c>
      <c r="D99" s="27" t="s">
        <v>186</v>
      </c>
    </row>
    <row r="100" spans="2:6">
      <c r="B100" s="26">
        <f t="shared" si="1"/>
        <v>98</v>
      </c>
      <c r="C100" s="27" t="s">
        <v>187</v>
      </c>
      <c r="D100" s="27" t="s">
        <v>188</v>
      </c>
    </row>
    <row r="101" spans="2:6">
      <c r="B101" s="26">
        <f t="shared" si="1"/>
        <v>99</v>
      </c>
      <c r="C101" s="27" t="s">
        <v>189</v>
      </c>
      <c r="D101" s="27" t="s">
        <v>190</v>
      </c>
    </row>
    <row r="102" spans="2:6" ht="25.5">
      <c r="B102" s="26">
        <f t="shared" si="1"/>
        <v>100</v>
      </c>
      <c r="C102" s="33" t="s">
        <v>119</v>
      </c>
      <c r="D102" s="33" t="s">
        <v>120</v>
      </c>
      <c r="F102" s="27"/>
    </row>
    <row r="103" spans="2:6" ht="12.75">
      <c r="B103" s="26">
        <f t="shared" si="1"/>
        <v>101</v>
      </c>
      <c r="C103" s="30" t="s">
        <v>191</v>
      </c>
      <c r="D103" s="31" t="s">
        <v>192</v>
      </c>
    </row>
    <row r="104" spans="2:6">
      <c r="B104" s="26">
        <f t="shared" si="1"/>
        <v>102</v>
      </c>
      <c r="C104" s="27" t="s">
        <v>127</v>
      </c>
      <c r="D104" s="27" t="s">
        <v>193</v>
      </c>
    </row>
    <row r="105" spans="2:6" ht="12.75">
      <c r="B105" s="26">
        <f t="shared" si="1"/>
        <v>103</v>
      </c>
      <c r="C105" s="34" t="s">
        <v>194</v>
      </c>
      <c r="D105" s="34" t="s">
        <v>195</v>
      </c>
    </row>
    <row r="106" spans="2:6">
      <c r="B106" s="26">
        <f t="shared" si="1"/>
        <v>104</v>
      </c>
      <c r="C106" s="27" t="s">
        <v>196</v>
      </c>
      <c r="D106" s="27" t="s">
        <v>197</v>
      </c>
    </row>
    <row r="107" spans="2:6">
      <c r="B107" s="26">
        <f t="shared" si="1"/>
        <v>105</v>
      </c>
      <c r="C107" s="27" t="s">
        <v>198</v>
      </c>
      <c r="D107" s="27" t="s">
        <v>199</v>
      </c>
    </row>
    <row r="108" spans="2:6">
      <c r="B108" s="26">
        <f t="shared" si="1"/>
        <v>106</v>
      </c>
      <c r="C108" s="27" t="s">
        <v>139</v>
      </c>
      <c r="D108" s="36" t="s">
        <v>140</v>
      </c>
    </row>
    <row r="109" spans="2:6">
      <c r="B109" s="26">
        <f t="shared" si="1"/>
        <v>107</v>
      </c>
      <c r="C109" s="27" t="s">
        <v>143</v>
      </c>
      <c r="D109" s="27" t="s">
        <v>144</v>
      </c>
    </row>
    <row r="110" spans="2:6">
      <c r="B110" s="26">
        <f t="shared" si="1"/>
        <v>108</v>
      </c>
      <c r="C110" s="27" t="s">
        <v>200</v>
      </c>
      <c r="D110" s="27" t="s">
        <v>201</v>
      </c>
    </row>
    <row r="111" spans="2:6">
      <c r="B111" s="26">
        <f t="shared" si="1"/>
        <v>109</v>
      </c>
      <c r="C111" s="27" t="s">
        <v>202</v>
      </c>
      <c r="D111" s="27" t="s">
        <v>203</v>
      </c>
    </row>
    <row r="112" spans="2:6">
      <c r="B112" s="26">
        <f t="shared" si="1"/>
        <v>110</v>
      </c>
      <c r="C112" s="27" t="s">
        <v>204</v>
      </c>
      <c r="D112" s="27" t="s">
        <v>205</v>
      </c>
    </row>
    <row r="113" spans="2:6" ht="12.75">
      <c r="B113" s="26">
        <f t="shared" si="1"/>
        <v>111</v>
      </c>
      <c r="C113" s="36" t="s">
        <v>206</v>
      </c>
      <c r="D113" s="36" t="s">
        <v>207</v>
      </c>
      <c r="E113" s="32"/>
      <c r="F113" s="32"/>
    </row>
    <row r="114" spans="2:6" ht="12.75">
      <c r="B114" s="26">
        <f t="shared" si="1"/>
        <v>112</v>
      </c>
      <c r="C114" s="36" t="s">
        <v>208</v>
      </c>
      <c r="D114" s="36" t="s">
        <v>209</v>
      </c>
      <c r="E114" s="32"/>
      <c r="F114" s="32"/>
    </row>
    <row r="115" spans="2:6">
      <c r="B115" s="26">
        <f t="shared" si="1"/>
        <v>113</v>
      </c>
      <c r="C115" s="27" t="s">
        <v>198</v>
      </c>
      <c r="D115" s="27" t="s">
        <v>210</v>
      </c>
    </row>
    <row r="116" spans="2:6">
      <c r="B116" s="26">
        <f t="shared" si="1"/>
        <v>114</v>
      </c>
      <c r="C116" s="27" t="s">
        <v>211</v>
      </c>
      <c r="D116" s="27" t="s">
        <v>212</v>
      </c>
    </row>
    <row r="117" spans="2:6">
      <c r="B117" s="26">
        <f t="shared" si="1"/>
        <v>115</v>
      </c>
      <c r="C117" s="27" t="s">
        <v>165</v>
      </c>
      <c r="D117" s="27" t="s">
        <v>166</v>
      </c>
    </row>
    <row r="118" spans="2:6">
      <c r="B118" s="26">
        <f t="shared" si="1"/>
        <v>116</v>
      </c>
      <c r="C118" s="27" t="s">
        <v>213</v>
      </c>
      <c r="D118" s="27" t="s">
        <v>214</v>
      </c>
    </row>
    <row r="119" spans="2:6">
      <c r="B119" s="26">
        <f t="shared" si="1"/>
        <v>117</v>
      </c>
      <c r="C119" s="27" t="s">
        <v>215</v>
      </c>
      <c r="D119" s="27" t="s">
        <v>216</v>
      </c>
    </row>
    <row r="120" spans="2:6" ht="12.75">
      <c r="B120" s="26">
        <f t="shared" si="1"/>
        <v>118</v>
      </c>
      <c r="C120" s="33" t="s">
        <v>217</v>
      </c>
      <c r="D120" s="33" t="s">
        <v>218</v>
      </c>
      <c r="E120" s="32"/>
      <c r="F120" s="32"/>
    </row>
    <row r="121" spans="2:6" ht="14.25">
      <c r="B121" s="26">
        <f t="shared" si="1"/>
        <v>119</v>
      </c>
      <c r="C121" s="27" t="s">
        <v>219</v>
      </c>
      <c r="D121" s="27" t="s">
        <v>220</v>
      </c>
    </row>
    <row r="122" spans="2:6">
      <c r="B122" s="26">
        <f t="shared" si="1"/>
        <v>120</v>
      </c>
      <c r="C122" s="27" t="s">
        <v>221</v>
      </c>
      <c r="D122" s="27" t="s">
        <v>222</v>
      </c>
    </row>
    <row r="123" spans="2:6" ht="12">
      <c r="B123" s="26">
        <f t="shared" si="1"/>
        <v>121</v>
      </c>
      <c r="C123" s="27" t="s">
        <v>223</v>
      </c>
      <c r="D123" s="27" t="s">
        <v>224</v>
      </c>
    </row>
    <row r="124" spans="2:6">
      <c r="B124" s="26">
        <f t="shared" si="1"/>
        <v>122</v>
      </c>
      <c r="C124" s="27" t="s">
        <v>225</v>
      </c>
      <c r="D124" s="27" t="s">
        <v>226</v>
      </c>
    </row>
    <row r="125" spans="2:6">
      <c r="B125" s="26">
        <f t="shared" si="1"/>
        <v>123</v>
      </c>
      <c r="C125" s="27" t="s">
        <v>227</v>
      </c>
      <c r="D125" s="27" t="s">
        <v>228</v>
      </c>
    </row>
    <row r="126" spans="2:6">
      <c r="B126" s="26">
        <f t="shared" si="1"/>
        <v>124</v>
      </c>
      <c r="C126" s="27" t="s">
        <v>229</v>
      </c>
      <c r="D126" s="27" t="s">
        <v>229</v>
      </c>
    </row>
    <row r="127" spans="2:6">
      <c r="B127" s="26">
        <f t="shared" si="1"/>
        <v>125</v>
      </c>
      <c r="C127" s="27" t="s">
        <v>230</v>
      </c>
      <c r="D127" s="27" t="s">
        <v>231</v>
      </c>
    </row>
    <row r="128" spans="2:6">
      <c r="B128" s="26">
        <f t="shared" si="1"/>
        <v>126</v>
      </c>
      <c r="C128" s="27" t="s">
        <v>232</v>
      </c>
      <c r="D128" s="27" t="s">
        <v>233</v>
      </c>
    </row>
    <row r="129" spans="2:4">
      <c r="B129" s="26">
        <f t="shared" si="1"/>
        <v>127</v>
      </c>
      <c r="C129" s="27" t="s">
        <v>234</v>
      </c>
      <c r="D129" s="27" t="s">
        <v>235</v>
      </c>
    </row>
    <row r="130" spans="2:4">
      <c r="B130" s="26">
        <f t="shared" si="1"/>
        <v>128</v>
      </c>
      <c r="C130" s="27" t="s">
        <v>236</v>
      </c>
      <c r="D130" s="27" t="s">
        <v>237</v>
      </c>
    </row>
    <row r="131" spans="2:4">
      <c r="B131" s="26">
        <f t="shared" si="1"/>
        <v>129</v>
      </c>
      <c r="C131" s="27" t="s">
        <v>238</v>
      </c>
      <c r="D131" s="27" t="s">
        <v>239</v>
      </c>
    </row>
    <row r="132" spans="2:4">
      <c r="B132" s="26">
        <f t="shared" si="1"/>
        <v>130</v>
      </c>
      <c r="C132" s="27" t="s">
        <v>240</v>
      </c>
      <c r="D132" s="27" t="s">
        <v>241</v>
      </c>
    </row>
    <row r="133" spans="2:4">
      <c r="B133" s="26">
        <f t="shared" ref="B133:B161" si="2">B132+1</f>
        <v>131</v>
      </c>
      <c r="C133" s="27" t="s">
        <v>242</v>
      </c>
      <c r="D133" s="27" t="s">
        <v>243</v>
      </c>
    </row>
    <row r="134" spans="2:4">
      <c r="B134" s="26">
        <f t="shared" si="2"/>
        <v>132</v>
      </c>
      <c r="C134" s="27" t="s">
        <v>244</v>
      </c>
      <c r="D134" s="27" t="s">
        <v>245</v>
      </c>
    </row>
    <row r="135" spans="2:4">
      <c r="B135" s="26">
        <f t="shared" si="2"/>
        <v>133</v>
      </c>
      <c r="C135" s="27" t="s">
        <v>246</v>
      </c>
      <c r="D135" s="27" t="s">
        <v>247</v>
      </c>
    </row>
    <row r="136" spans="2:4">
      <c r="B136" s="26">
        <f t="shared" si="2"/>
        <v>134</v>
      </c>
      <c r="C136" s="27" t="s">
        <v>248</v>
      </c>
      <c r="D136" s="27" t="s">
        <v>249</v>
      </c>
    </row>
    <row r="137" spans="2:4">
      <c r="B137" s="26">
        <f t="shared" si="2"/>
        <v>135</v>
      </c>
      <c r="C137" s="27" t="s">
        <v>172</v>
      </c>
      <c r="D137" s="27" t="s">
        <v>250</v>
      </c>
    </row>
    <row r="138" spans="2:4">
      <c r="B138" s="26">
        <f t="shared" si="2"/>
        <v>136</v>
      </c>
      <c r="C138" s="27" t="s">
        <v>213</v>
      </c>
      <c r="D138" s="27" t="s">
        <v>214</v>
      </c>
    </row>
    <row r="139" spans="2:4">
      <c r="B139" s="26">
        <f t="shared" si="2"/>
        <v>137</v>
      </c>
      <c r="C139" s="27" t="s">
        <v>251</v>
      </c>
      <c r="D139" s="27" t="s">
        <v>252</v>
      </c>
    </row>
    <row r="140" spans="2:4" ht="14.25">
      <c r="B140" s="26">
        <f t="shared" si="2"/>
        <v>138</v>
      </c>
      <c r="C140" s="27" t="s">
        <v>253</v>
      </c>
      <c r="D140" s="27" t="s">
        <v>254</v>
      </c>
    </row>
    <row r="141" spans="2:4">
      <c r="B141" s="26">
        <f t="shared" si="2"/>
        <v>139</v>
      </c>
      <c r="C141" s="27" t="s">
        <v>255</v>
      </c>
      <c r="D141" s="27" t="s">
        <v>256</v>
      </c>
    </row>
    <row r="142" spans="2:4">
      <c r="B142" s="26">
        <f t="shared" si="2"/>
        <v>140</v>
      </c>
      <c r="C142" s="27" t="s">
        <v>257</v>
      </c>
      <c r="D142" s="27" t="s">
        <v>258</v>
      </c>
    </row>
    <row r="143" spans="2:4">
      <c r="B143" s="26">
        <f t="shared" si="2"/>
        <v>141</v>
      </c>
      <c r="C143" s="27" t="s">
        <v>259</v>
      </c>
      <c r="D143" s="27" t="s">
        <v>260</v>
      </c>
    </row>
    <row r="144" spans="2:4">
      <c r="B144" s="26">
        <f t="shared" si="2"/>
        <v>142</v>
      </c>
      <c r="C144" s="27" t="s">
        <v>261</v>
      </c>
      <c r="D144" s="27" t="s">
        <v>262</v>
      </c>
    </row>
    <row r="145" spans="2:4">
      <c r="B145" s="26">
        <f t="shared" si="2"/>
        <v>143</v>
      </c>
      <c r="C145" s="27" t="s">
        <v>263</v>
      </c>
      <c r="D145" s="27" t="s">
        <v>264</v>
      </c>
    </row>
    <row r="146" spans="2:4">
      <c r="B146" s="26">
        <f t="shared" si="2"/>
        <v>144</v>
      </c>
      <c r="C146" s="27" t="s">
        <v>265</v>
      </c>
      <c r="D146" s="27" t="s">
        <v>266</v>
      </c>
    </row>
    <row r="147" spans="2:4">
      <c r="B147" s="26">
        <f t="shared" si="2"/>
        <v>145</v>
      </c>
      <c r="C147" s="27" t="s">
        <v>267</v>
      </c>
      <c r="D147" s="27" t="s">
        <v>268</v>
      </c>
    </row>
    <row r="148" spans="2:4">
      <c r="B148" s="26">
        <f t="shared" si="2"/>
        <v>146</v>
      </c>
      <c r="C148" s="27" t="s">
        <v>269</v>
      </c>
      <c r="D148" s="27" t="s">
        <v>270</v>
      </c>
    </row>
    <row r="149" spans="2:4">
      <c r="B149" s="26">
        <f t="shared" si="2"/>
        <v>147</v>
      </c>
      <c r="C149" s="27" t="s">
        <v>271</v>
      </c>
      <c r="D149" s="27" t="s">
        <v>271</v>
      </c>
    </row>
    <row r="150" spans="2:4">
      <c r="B150" s="26">
        <f t="shared" si="2"/>
        <v>148</v>
      </c>
      <c r="C150" s="27" t="s">
        <v>272</v>
      </c>
      <c r="D150" s="27" t="s">
        <v>272</v>
      </c>
    </row>
    <row r="151" spans="2:4">
      <c r="B151" s="26">
        <f t="shared" si="2"/>
        <v>149</v>
      </c>
      <c r="C151" s="27" t="s">
        <v>273</v>
      </c>
      <c r="D151" s="27" t="s">
        <v>274</v>
      </c>
    </row>
    <row r="152" spans="2:4">
      <c r="B152" s="26">
        <f t="shared" si="2"/>
        <v>150</v>
      </c>
      <c r="C152" s="27" t="s">
        <v>275</v>
      </c>
      <c r="D152" s="27" t="s">
        <v>276</v>
      </c>
    </row>
    <row r="153" spans="2:4">
      <c r="B153" s="26">
        <f t="shared" si="2"/>
        <v>151</v>
      </c>
      <c r="C153" s="27" t="s">
        <v>277</v>
      </c>
      <c r="D153" s="27" t="s">
        <v>278</v>
      </c>
    </row>
    <row r="154" spans="2:4">
      <c r="B154" s="26">
        <f t="shared" si="2"/>
        <v>152</v>
      </c>
      <c r="C154" s="27" t="s">
        <v>279</v>
      </c>
      <c r="D154" s="27" t="s">
        <v>279</v>
      </c>
    </row>
    <row r="155" spans="2:4">
      <c r="B155" s="26">
        <f t="shared" si="2"/>
        <v>153</v>
      </c>
      <c r="C155" s="27" t="s">
        <v>280</v>
      </c>
      <c r="D155" s="27" t="s">
        <v>280</v>
      </c>
    </row>
    <row r="156" spans="2:4">
      <c r="B156" s="26">
        <f t="shared" si="2"/>
        <v>154</v>
      </c>
      <c r="C156" s="27" t="s">
        <v>281</v>
      </c>
      <c r="D156" s="27" t="s">
        <v>281</v>
      </c>
    </row>
    <row r="157" spans="2:4">
      <c r="B157" s="26">
        <f t="shared" si="2"/>
        <v>155</v>
      </c>
      <c r="C157" s="27" t="s">
        <v>282</v>
      </c>
      <c r="D157" s="27" t="s">
        <v>282</v>
      </c>
    </row>
    <row r="158" spans="2:4">
      <c r="B158" s="26">
        <f t="shared" si="2"/>
        <v>156</v>
      </c>
      <c r="C158" s="27" t="s">
        <v>283</v>
      </c>
      <c r="D158" s="27" t="s">
        <v>284</v>
      </c>
    </row>
    <row r="159" spans="2:4">
      <c r="B159" s="26">
        <f t="shared" si="2"/>
        <v>157</v>
      </c>
      <c r="C159" s="27" t="s">
        <v>285</v>
      </c>
      <c r="D159" s="27" t="s">
        <v>285</v>
      </c>
    </row>
    <row r="160" spans="2:4">
      <c r="B160" s="26">
        <f t="shared" si="2"/>
        <v>158</v>
      </c>
      <c r="C160" s="27" t="s">
        <v>286</v>
      </c>
      <c r="D160" s="27" t="s">
        <v>287</v>
      </c>
    </row>
    <row r="161" spans="2:4" ht="12">
      <c r="B161" s="26">
        <f t="shared" si="2"/>
        <v>159</v>
      </c>
      <c r="C161" s="27" t="s">
        <v>288</v>
      </c>
      <c r="D161" s="27" t="s">
        <v>289</v>
      </c>
    </row>
    <row r="162" spans="2:4" ht="25.5">
      <c r="B162" s="26">
        <v>160</v>
      </c>
      <c r="C162" s="30" t="s">
        <v>290</v>
      </c>
      <c r="D162" s="31" t="s">
        <v>291</v>
      </c>
    </row>
    <row r="163" spans="2:4">
      <c r="B163" s="26">
        <v>161</v>
      </c>
      <c r="C163" s="27" t="s">
        <v>292</v>
      </c>
      <c r="D163" s="27" t="s">
        <v>293</v>
      </c>
    </row>
    <row r="164" spans="2:4">
      <c r="B164" s="26">
        <v>162</v>
      </c>
      <c r="C164" s="27" t="s">
        <v>294</v>
      </c>
      <c r="D164" s="27" t="s">
        <v>295</v>
      </c>
    </row>
    <row r="165" spans="2:4">
      <c r="B165" s="26">
        <v>163</v>
      </c>
      <c r="C165" s="27" t="s">
        <v>296</v>
      </c>
      <c r="D165" s="27" t="s">
        <v>297</v>
      </c>
    </row>
    <row r="166" spans="2:4">
      <c r="B166" s="26">
        <v>164</v>
      </c>
      <c r="C166" s="27" t="s">
        <v>298</v>
      </c>
      <c r="D166" s="27" t="s">
        <v>299</v>
      </c>
    </row>
    <row r="167" spans="2:4">
      <c r="B167" s="26">
        <v>165</v>
      </c>
      <c r="C167" s="27" t="s">
        <v>300</v>
      </c>
      <c r="D167" s="27" t="s">
        <v>301</v>
      </c>
    </row>
    <row r="168" spans="2:4">
      <c r="B168" s="26">
        <v>166</v>
      </c>
      <c r="C168" s="27" t="s">
        <v>302</v>
      </c>
      <c r="D168" s="27" t="s">
        <v>303</v>
      </c>
    </row>
    <row r="169" spans="2:4">
      <c r="B169" s="26">
        <f t="shared" ref="B169:B201" si="3">B168+1</f>
        <v>167</v>
      </c>
      <c r="C169" s="27" t="s">
        <v>304</v>
      </c>
      <c r="D169" s="27" t="s">
        <v>305</v>
      </c>
    </row>
    <row r="170" spans="2:4">
      <c r="B170" s="26">
        <f t="shared" si="3"/>
        <v>168</v>
      </c>
      <c r="C170" s="27" t="s">
        <v>306</v>
      </c>
      <c r="D170" s="27" t="s">
        <v>307</v>
      </c>
    </row>
    <row r="171" spans="2:4">
      <c r="B171" s="26">
        <f t="shared" si="3"/>
        <v>169</v>
      </c>
      <c r="C171" s="27" t="s">
        <v>308</v>
      </c>
      <c r="D171" s="27" t="s">
        <v>309</v>
      </c>
    </row>
    <row r="172" spans="2:4">
      <c r="B172" s="26">
        <f t="shared" si="3"/>
        <v>170</v>
      </c>
      <c r="C172" s="27" t="s">
        <v>310</v>
      </c>
      <c r="D172" s="27" t="s">
        <v>311</v>
      </c>
    </row>
    <row r="173" spans="2:4">
      <c r="B173" s="26">
        <f t="shared" si="3"/>
        <v>171</v>
      </c>
      <c r="C173" s="27" t="s">
        <v>312</v>
      </c>
      <c r="D173" s="27" t="s">
        <v>313</v>
      </c>
    </row>
    <row r="174" spans="2:4">
      <c r="B174" s="26">
        <f t="shared" si="3"/>
        <v>172</v>
      </c>
      <c r="C174" s="27" t="s">
        <v>314</v>
      </c>
      <c r="D174" s="27" t="s">
        <v>315</v>
      </c>
    </row>
    <row r="175" spans="2:4">
      <c r="B175" s="26">
        <f t="shared" si="3"/>
        <v>173</v>
      </c>
      <c r="C175" s="27" t="s">
        <v>316</v>
      </c>
      <c r="D175" s="27" t="s">
        <v>317</v>
      </c>
    </row>
    <row r="176" spans="2:4">
      <c r="B176" s="26">
        <f t="shared" si="3"/>
        <v>174</v>
      </c>
      <c r="C176" s="27" t="s">
        <v>318</v>
      </c>
      <c r="D176" s="27" t="s">
        <v>319</v>
      </c>
    </row>
    <row r="177" spans="2:4" ht="12">
      <c r="B177" s="26">
        <f t="shared" si="3"/>
        <v>175</v>
      </c>
      <c r="C177" s="27" t="s">
        <v>320</v>
      </c>
      <c r="D177" s="27" t="s">
        <v>321</v>
      </c>
    </row>
    <row r="178" spans="2:4" ht="12">
      <c r="B178" s="26">
        <f t="shared" si="3"/>
        <v>176</v>
      </c>
      <c r="C178" s="27" t="s">
        <v>322</v>
      </c>
      <c r="D178" s="27" t="s">
        <v>323</v>
      </c>
    </row>
    <row r="179" spans="2:4">
      <c r="B179" s="26">
        <f t="shared" si="3"/>
        <v>177</v>
      </c>
      <c r="C179" s="27" t="s">
        <v>324</v>
      </c>
      <c r="D179" s="27" t="s">
        <v>325</v>
      </c>
    </row>
    <row r="180" spans="2:4">
      <c r="B180" s="26">
        <f t="shared" si="3"/>
        <v>178</v>
      </c>
      <c r="C180" s="27" t="s">
        <v>326</v>
      </c>
      <c r="D180" s="27" t="s">
        <v>327</v>
      </c>
    </row>
    <row r="181" spans="2:4">
      <c r="B181" s="26">
        <f t="shared" si="3"/>
        <v>179</v>
      </c>
      <c r="C181" s="27" t="s">
        <v>328</v>
      </c>
      <c r="D181" s="27" t="s">
        <v>329</v>
      </c>
    </row>
    <row r="182" spans="2:4">
      <c r="B182" s="26">
        <f t="shared" si="3"/>
        <v>180</v>
      </c>
      <c r="C182" s="27" t="s">
        <v>330</v>
      </c>
      <c r="D182" s="27" t="s">
        <v>331</v>
      </c>
    </row>
    <row r="183" spans="2:4">
      <c r="B183" s="26">
        <f t="shared" si="3"/>
        <v>181</v>
      </c>
      <c r="C183" s="27" t="s">
        <v>332</v>
      </c>
      <c r="D183" s="27" t="s">
        <v>333</v>
      </c>
    </row>
    <row r="184" spans="2:4">
      <c r="B184" s="26">
        <f t="shared" si="3"/>
        <v>182</v>
      </c>
      <c r="C184" s="27" t="s">
        <v>334</v>
      </c>
      <c r="D184" s="27" t="s">
        <v>335</v>
      </c>
    </row>
    <row r="185" spans="2:4">
      <c r="B185" s="26">
        <f t="shared" si="3"/>
        <v>183</v>
      </c>
      <c r="C185" s="27" t="s">
        <v>336</v>
      </c>
      <c r="D185" s="27" t="s">
        <v>337</v>
      </c>
    </row>
    <row r="186" spans="2:4">
      <c r="B186" s="26">
        <f t="shared" si="3"/>
        <v>184</v>
      </c>
      <c r="C186" s="27" t="s">
        <v>336</v>
      </c>
      <c r="D186" s="27" t="s">
        <v>337</v>
      </c>
    </row>
    <row r="187" spans="2:4">
      <c r="B187" s="26">
        <f t="shared" si="3"/>
        <v>185</v>
      </c>
      <c r="C187" s="27" t="s">
        <v>338</v>
      </c>
      <c r="D187" s="27" t="s">
        <v>339</v>
      </c>
    </row>
    <row r="188" spans="2:4">
      <c r="B188" s="26">
        <f t="shared" si="3"/>
        <v>186</v>
      </c>
      <c r="C188" s="27" t="s">
        <v>42</v>
      </c>
      <c r="D188" s="27" t="s">
        <v>42</v>
      </c>
    </row>
    <row r="189" spans="2:4" ht="12">
      <c r="B189" s="26">
        <f t="shared" si="3"/>
        <v>187</v>
      </c>
      <c r="C189" s="27" t="s">
        <v>340</v>
      </c>
      <c r="D189" s="27" t="s">
        <v>341</v>
      </c>
    </row>
    <row r="190" spans="2:4" ht="12">
      <c r="B190" s="26">
        <f t="shared" si="3"/>
        <v>188</v>
      </c>
      <c r="C190" s="27" t="s">
        <v>342</v>
      </c>
      <c r="D190" s="27" t="s">
        <v>343</v>
      </c>
    </row>
    <row r="191" spans="2:4">
      <c r="B191" s="26">
        <f t="shared" si="3"/>
        <v>189</v>
      </c>
      <c r="C191" s="27" t="s">
        <v>344</v>
      </c>
      <c r="D191" s="27" t="s">
        <v>345</v>
      </c>
    </row>
    <row r="192" spans="2:4" ht="12.75">
      <c r="B192" s="26">
        <f t="shared" si="3"/>
        <v>190</v>
      </c>
      <c r="C192" s="27" t="s">
        <v>346</v>
      </c>
      <c r="D192" s="37" t="s">
        <v>347</v>
      </c>
    </row>
    <row r="193" spans="2:4" ht="12.75">
      <c r="B193" s="26">
        <f t="shared" si="3"/>
        <v>191</v>
      </c>
      <c r="C193" s="27" t="s">
        <v>348</v>
      </c>
      <c r="D193" s="37" t="s">
        <v>349</v>
      </c>
    </row>
    <row r="194" spans="2:4">
      <c r="B194" s="26">
        <f t="shared" si="3"/>
        <v>192</v>
      </c>
      <c r="C194" s="27" t="s">
        <v>350</v>
      </c>
      <c r="D194" s="27" t="s">
        <v>351</v>
      </c>
    </row>
    <row r="195" spans="2:4">
      <c r="B195" s="26">
        <f t="shared" si="3"/>
        <v>193</v>
      </c>
      <c r="C195" s="27" t="s">
        <v>352</v>
      </c>
      <c r="D195" s="27" t="s">
        <v>353</v>
      </c>
    </row>
    <row r="196" spans="2:4">
      <c r="B196" s="26">
        <f t="shared" si="3"/>
        <v>194</v>
      </c>
      <c r="C196" s="27" t="s">
        <v>354</v>
      </c>
      <c r="D196" s="27" t="s">
        <v>355</v>
      </c>
    </row>
    <row r="197" spans="2:4">
      <c r="B197" s="26">
        <f t="shared" si="3"/>
        <v>195</v>
      </c>
      <c r="C197" s="27" t="s">
        <v>356</v>
      </c>
      <c r="D197" s="27" t="s">
        <v>357</v>
      </c>
    </row>
    <row r="198" spans="2:4">
      <c r="B198" s="26">
        <f t="shared" si="3"/>
        <v>196</v>
      </c>
      <c r="C198" s="27" t="s">
        <v>358</v>
      </c>
      <c r="D198" s="27" t="s">
        <v>359</v>
      </c>
    </row>
    <row r="199" spans="2:4">
      <c r="B199" s="26">
        <f t="shared" si="3"/>
        <v>197</v>
      </c>
      <c r="C199" s="38" t="s">
        <v>360</v>
      </c>
      <c r="D199" s="38" t="s">
        <v>361</v>
      </c>
    </row>
    <row r="200" spans="2:4">
      <c r="B200" s="26">
        <f t="shared" si="3"/>
        <v>198</v>
      </c>
      <c r="C200" s="27" t="s">
        <v>362</v>
      </c>
      <c r="D200" s="27" t="s">
        <v>363</v>
      </c>
    </row>
    <row r="201" spans="2:4">
      <c r="B201" s="26">
        <f t="shared" si="3"/>
        <v>199</v>
      </c>
      <c r="C201" s="27" t="s">
        <v>364</v>
      </c>
      <c r="D201" s="27" t="s">
        <v>365</v>
      </c>
    </row>
    <row r="202" spans="2:4">
      <c r="B202" s="26">
        <v>200</v>
      </c>
      <c r="C202" s="27" t="s">
        <v>298</v>
      </c>
      <c r="D202" s="27" t="s">
        <v>299</v>
      </c>
    </row>
    <row r="203" spans="2:4">
      <c r="B203" s="26">
        <v>201</v>
      </c>
      <c r="C203" s="27" t="s">
        <v>366</v>
      </c>
      <c r="D203" s="27" t="s">
        <v>367</v>
      </c>
    </row>
    <row r="204" spans="2:4">
      <c r="B204" s="26">
        <v>202</v>
      </c>
      <c r="C204" s="27" t="s">
        <v>368</v>
      </c>
      <c r="D204" s="27" t="s">
        <v>369</v>
      </c>
    </row>
    <row r="205" spans="2:4">
      <c r="B205" s="26">
        <v>203</v>
      </c>
      <c r="C205" s="27" t="s">
        <v>370</v>
      </c>
      <c r="D205" s="27" t="s">
        <v>371</v>
      </c>
    </row>
    <row r="206" spans="2:4">
      <c r="B206" s="26">
        <v>204</v>
      </c>
      <c r="C206" s="27" t="s">
        <v>372</v>
      </c>
      <c r="D206" s="27" t="s">
        <v>373</v>
      </c>
    </row>
    <row r="207" spans="2:4">
      <c r="B207" s="26">
        <v>205</v>
      </c>
      <c r="C207" s="27" t="s">
        <v>374</v>
      </c>
      <c r="D207" s="27" t="s">
        <v>375</v>
      </c>
    </row>
    <row r="208" spans="2:4">
      <c r="B208" s="26">
        <v>206</v>
      </c>
      <c r="C208" s="27" t="s">
        <v>376</v>
      </c>
      <c r="D208" s="27" t="s">
        <v>377</v>
      </c>
    </row>
    <row r="209" spans="2:4">
      <c r="B209" s="26">
        <v>207</v>
      </c>
      <c r="C209" s="27" t="s">
        <v>378</v>
      </c>
      <c r="D209" s="27" t="s">
        <v>379</v>
      </c>
    </row>
    <row r="210" spans="2:4">
      <c r="B210" s="26">
        <v>208</v>
      </c>
      <c r="C210" s="27" t="s">
        <v>380</v>
      </c>
      <c r="D210" s="27" t="s">
        <v>381</v>
      </c>
    </row>
    <row r="211" spans="2:4">
      <c r="B211" s="26">
        <v>209</v>
      </c>
      <c r="C211" s="27" t="s">
        <v>382</v>
      </c>
      <c r="D211" s="27" t="s">
        <v>383</v>
      </c>
    </row>
    <row r="212" spans="2:4">
      <c r="B212" s="26">
        <v>210</v>
      </c>
      <c r="C212" s="27" t="s">
        <v>384</v>
      </c>
      <c r="D212" s="27" t="s">
        <v>385</v>
      </c>
    </row>
    <row r="213" spans="2:4">
      <c r="B213" s="26">
        <v>211</v>
      </c>
      <c r="C213" s="27" t="s">
        <v>386</v>
      </c>
      <c r="D213" s="27" t="s">
        <v>387</v>
      </c>
    </row>
    <row r="214" spans="2:4">
      <c r="B214" s="26">
        <v>212</v>
      </c>
      <c r="C214" s="27" t="s">
        <v>388</v>
      </c>
      <c r="D214" s="27" t="s">
        <v>389</v>
      </c>
    </row>
    <row r="215" spans="2:4">
      <c r="B215" s="26">
        <v>213</v>
      </c>
      <c r="C215" s="27" t="s">
        <v>390</v>
      </c>
      <c r="D215" s="27" t="s">
        <v>391</v>
      </c>
    </row>
    <row r="216" spans="2:4">
      <c r="B216" s="26">
        <v>214</v>
      </c>
      <c r="C216" s="27" t="s">
        <v>392</v>
      </c>
      <c r="D216" s="27" t="s">
        <v>393</v>
      </c>
    </row>
    <row r="217" spans="2:4">
      <c r="B217" s="26">
        <v>215</v>
      </c>
      <c r="C217" s="27" t="s">
        <v>394</v>
      </c>
      <c r="D217" s="27" t="s">
        <v>395</v>
      </c>
    </row>
    <row r="218" spans="2:4">
      <c r="B218" s="26">
        <v>216</v>
      </c>
      <c r="C218" s="27" t="s">
        <v>396</v>
      </c>
      <c r="D218" s="27" t="s">
        <v>397</v>
      </c>
    </row>
    <row r="219" spans="2:4">
      <c r="B219" s="26">
        <v>217</v>
      </c>
      <c r="C219" s="27" t="s">
        <v>143</v>
      </c>
      <c r="D219" s="27" t="s">
        <v>144</v>
      </c>
    </row>
    <row r="220" spans="2:4">
      <c r="B220" s="26">
        <v>218</v>
      </c>
      <c r="C220" s="27" t="s">
        <v>145</v>
      </c>
      <c r="D220" s="27" t="s">
        <v>146</v>
      </c>
    </row>
    <row r="221" spans="2:4">
      <c r="B221" s="26">
        <v>219</v>
      </c>
      <c r="C221" s="27" t="s">
        <v>202</v>
      </c>
      <c r="D221" s="27" t="s">
        <v>203</v>
      </c>
    </row>
    <row r="222" spans="2:4">
      <c r="B222" s="26">
        <v>220</v>
      </c>
      <c r="C222" s="27" t="s">
        <v>204</v>
      </c>
      <c r="D222" s="27" t="s">
        <v>205</v>
      </c>
    </row>
    <row r="223" spans="2:4">
      <c r="B223" s="26">
        <v>221</v>
      </c>
      <c r="C223" s="27" t="s">
        <v>390</v>
      </c>
      <c r="D223" s="27" t="s">
        <v>391</v>
      </c>
    </row>
    <row r="224" spans="2:4">
      <c r="B224" s="26">
        <v>222</v>
      </c>
      <c r="C224" s="27" t="s">
        <v>392</v>
      </c>
      <c r="D224" s="27" t="s">
        <v>393</v>
      </c>
    </row>
    <row r="225" spans="2:4">
      <c r="B225" s="26">
        <v>223</v>
      </c>
      <c r="C225" s="27" t="s">
        <v>394</v>
      </c>
      <c r="D225" s="27" t="s">
        <v>395</v>
      </c>
    </row>
    <row r="226" spans="2:4">
      <c r="B226" s="26">
        <v>224</v>
      </c>
      <c r="C226" s="27" t="s">
        <v>396</v>
      </c>
      <c r="D226" s="27" t="s">
        <v>397</v>
      </c>
    </row>
    <row r="227" spans="2:4">
      <c r="B227" s="26">
        <v>225</v>
      </c>
      <c r="C227" s="27" t="s">
        <v>398</v>
      </c>
      <c r="D227" s="27" t="s">
        <v>399</v>
      </c>
    </row>
    <row r="228" spans="2:4">
      <c r="B228" s="26">
        <v>226</v>
      </c>
      <c r="C228" s="27" t="s">
        <v>165</v>
      </c>
      <c r="D228" s="27" t="s">
        <v>166</v>
      </c>
    </row>
    <row r="229" spans="2:4">
      <c r="B229" s="26">
        <v>227</v>
      </c>
      <c r="C229" s="27" t="s">
        <v>400</v>
      </c>
      <c r="D229" s="27" t="s">
        <v>175</v>
      </c>
    </row>
    <row r="230" spans="2:4">
      <c r="B230" s="26">
        <v>228</v>
      </c>
      <c r="C230" s="27" t="s">
        <v>401</v>
      </c>
      <c r="D230" s="27" t="s">
        <v>177</v>
      </c>
    </row>
    <row r="231" spans="2:4">
      <c r="B231" s="26">
        <v>229</v>
      </c>
      <c r="C231" s="27" t="s">
        <v>402</v>
      </c>
      <c r="D231" s="27" t="s">
        <v>403</v>
      </c>
    </row>
    <row r="232" spans="2:4" ht="12">
      <c r="B232" s="26">
        <v>230</v>
      </c>
      <c r="C232" s="39" t="s">
        <v>404</v>
      </c>
      <c r="D232" s="27" t="s">
        <v>405</v>
      </c>
    </row>
    <row r="233" spans="2:4" ht="14.25">
      <c r="B233" s="26">
        <v>231</v>
      </c>
      <c r="C233" s="27" t="s">
        <v>406</v>
      </c>
      <c r="D233" s="27" t="s">
        <v>407</v>
      </c>
    </row>
    <row r="234" spans="2:4">
      <c r="B234" s="26">
        <v>232</v>
      </c>
      <c r="C234" s="27" t="s">
        <v>408</v>
      </c>
      <c r="D234" s="27" t="s">
        <v>65</v>
      </c>
    </row>
    <row r="235" spans="2:4" ht="14.25">
      <c r="B235" s="26">
        <v>233</v>
      </c>
      <c r="C235" s="27" t="s">
        <v>409</v>
      </c>
      <c r="D235" s="27" t="s">
        <v>410</v>
      </c>
    </row>
    <row r="236" spans="2:4">
      <c r="B236" s="26">
        <v>234</v>
      </c>
      <c r="C236" s="27" t="s">
        <v>411</v>
      </c>
      <c r="D236" s="27" t="s">
        <v>69</v>
      </c>
    </row>
    <row r="237" spans="2:4" ht="14.25">
      <c r="B237" s="26">
        <v>235</v>
      </c>
      <c r="C237" s="27" t="s">
        <v>406</v>
      </c>
      <c r="D237" s="27" t="s">
        <v>407</v>
      </c>
    </row>
    <row r="238" spans="2:4">
      <c r="B238" s="26">
        <v>236</v>
      </c>
      <c r="C238" s="27" t="s">
        <v>408</v>
      </c>
      <c r="D238" s="27" t="s">
        <v>412</v>
      </c>
    </row>
    <row r="239" spans="2:4" ht="14.25">
      <c r="B239" s="26">
        <v>237</v>
      </c>
      <c r="C239" s="27" t="s">
        <v>409</v>
      </c>
      <c r="D239" s="27" t="s">
        <v>413</v>
      </c>
    </row>
    <row r="240" spans="2:4">
      <c r="B240" s="26">
        <v>238</v>
      </c>
      <c r="C240" s="27" t="s">
        <v>414</v>
      </c>
      <c r="D240" s="27" t="s">
        <v>415</v>
      </c>
    </row>
    <row r="241" spans="2:6">
      <c r="B241" s="26">
        <v>239</v>
      </c>
      <c r="C241" s="27" t="s">
        <v>416</v>
      </c>
      <c r="D241" s="27" t="s">
        <v>417</v>
      </c>
    </row>
    <row r="242" spans="2:6">
      <c r="B242" s="26">
        <v>240</v>
      </c>
      <c r="C242" s="27" t="s">
        <v>418</v>
      </c>
      <c r="D242" s="27" t="s">
        <v>419</v>
      </c>
    </row>
    <row r="243" spans="2:6" ht="12">
      <c r="B243" s="26">
        <v>241</v>
      </c>
      <c r="C243" s="27" t="s">
        <v>420</v>
      </c>
      <c r="D243" s="27" t="s">
        <v>421</v>
      </c>
    </row>
    <row r="244" spans="2:6" ht="12">
      <c r="B244" s="26">
        <v>242</v>
      </c>
      <c r="C244" s="27" t="s">
        <v>422</v>
      </c>
      <c r="D244" s="27" t="s">
        <v>423</v>
      </c>
    </row>
    <row r="245" spans="2:6">
      <c r="B245" s="26">
        <v>243</v>
      </c>
      <c r="C245" s="36" t="s">
        <v>424</v>
      </c>
      <c r="D245" s="36" t="s">
        <v>425</v>
      </c>
    </row>
    <row r="246" spans="2:6">
      <c r="B246" s="26">
        <v>244</v>
      </c>
      <c r="C246" s="36" t="s">
        <v>426</v>
      </c>
      <c r="D246" s="36" t="s">
        <v>427</v>
      </c>
      <c r="F246" s="27"/>
    </row>
    <row r="247" spans="2:6">
      <c r="B247" s="26">
        <v>245</v>
      </c>
      <c r="C247" s="27" t="s">
        <v>428</v>
      </c>
      <c r="D247" s="27" t="s">
        <v>429</v>
      </c>
    </row>
    <row r="248" spans="2:6">
      <c r="B248" s="26">
        <v>246</v>
      </c>
      <c r="C248" s="27" t="s">
        <v>430</v>
      </c>
      <c r="D248" s="27" t="s">
        <v>431</v>
      </c>
    </row>
    <row r="249" spans="2:6">
      <c r="B249" s="26">
        <v>247</v>
      </c>
      <c r="C249" s="27" t="s">
        <v>432</v>
      </c>
      <c r="D249" s="27" t="s">
        <v>433</v>
      </c>
    </row>
    <row r="250" spans="2:6">
      <c r="B250" s="26">
        <v>248</v>
      </c>
      <c r="C250" s="27" t="s">
        <v>434</v>
      </c>
      <c r="D250" s="27" t="s">
        <v>435</v>
      </c>
    </row>
    <row r="251" spans="2:6">
      <c r="B251" s="26">
        <v>249</v>
      </c>
      <c r="C251" s="27" t="s">
        <v>436</v>
      </c>
      <c r="D251" s="27" t="s">
        <v>437</v>
      </c>
    </row>
    <row r="252" spans="2:6">
      <c r="B252" s="26">
        <v>250</v>
      </c>
      <c r="C252" s="27" t="s">
        <v>438</v>
      </c>
      <c r="D252" s="27" t="s">
        <v>439</v>
      </c>
    </row>
    <row r="253" spans="2:6">
      <c r="B253" s="26">
        <v>251</v>
      </c>
      <c r="C253" s="27" t="s">
        <v>440</v>
      </c>
      <c r="D253" s="27" t="s">
        <v>441</v>
      </c>
    </row>
    <row r="254" spans="2:6">
      <c r="B254" s="26">
        <v>252</v>
      </c>
      <c r="C254" s="27" t="s">
        <v>442</v>
      </c>
      <c r="D254" s="27" t="s">
        <v>443</v>
      </c>
    </row>
    <row r="255" spans="2:6">
      <c r="B255" s="26">
        <v>253</v>
      </c>
      <c r="C255" s="27" t="s">
        <v>444</v>
      </c>
      <c r="D255" s="27" t="s">
        <v>445</v>
      </c>
    </row>
    <row r="256" spans="2:6">
      <c r="B256" s="26">
        <v>254</v>
      </c>
      <c r="C256" s="27" t="s">
        <v>446</v>
      </c>
      <c r="D256" s="27" t="s">
        <v>446</v>
      </c>
    </row>
    <row r="257" spans="2:4">
      <c r="B257" s="26">
        <v>255</v>
      </c>
      <c r="C257" s="36" t="s">
        <v>447</v>
      </c>
      <c r="D257" s="36" t="s">
        <v>448</v>
      </c>
    </row>
    <row r="258" spans="2:4">
      <c r="B258" s="26">
        <v>256</v>
      </c>
      <c r="C258" s="27" t="s">
        <v>449</v>
      </c>
      <c r="D258" s="27" t="s">
        <v>450</v>
      </c>
    </row>
    <row r="259" spans="2:4">
      <c r="B259" s="26">
        <v>257</v>
      </c>
      <c r="C259" s="27" t="s">
        <v>451</v>
      </c>
      <c r="D259" s="27" t="s">
        <v>452</v>
      </c>
    </row>
    <row r="260" spans="2:4">
      <c r="B260" s="26">
        <v>258</v>
      </c>
      <c r="C260" s="27" t="s">
        <v>453</v>
      </c>
      <c r="D260" s="27" t="s">
        <v>454</v>
      </c>
    </row>
    <row r="261" spans="2:4">
      <c r="B261" s="26">
        <v>259</v>
      </c>
      <c r="C261" s="27" t="s">
        <v>455</v>
      </c>
      <c r="D261" s="27" t="s">
        <v>456</v>
      </c>
    </row>
    <row r="262" spans="2:4">
      <c r="B262" s="26">
        <v>260</v>
      </c>
      <c r="C262" s="27" t="s">
        <v>457</v>
      </c>
      <c r="D262" s="27" t="s">
        <v>458</v>
      </c>
    </row>
    <row r="263" spans="2:4">
      <c r="B263" s="26">
        <v>261</v>
      </c>
      <c r="C263" s="27" t="s">
        <v>459</v>
      </c>
      <c r="D263" s="27" t="s">
        <v>460</v>
      </c>
    </row>
    <row r="264" spans="2:4">
      <c r="B264" s="26">
        <v>262</v>
      </c>
      <c r="C264" s="27" t="s">
        <v>461</v>
      </c>
      <c r="D264" s="27" t="s">
        <v>462</v>
      </c>
    </row>
    <row r="265" spans="2:4">
      <c r="B265" s="26">
        <v>263</v>
      </c>
      <c r="C265" s="27" t="s">
        <v>463</v>
      </c>
      <c r="D265" s="27" t="s">
        <v>464</v>
      </c>
    </row>
    <row r="266" spans="2:4">
      <c r="B266" s="26">
        <v>264</v>
      </c>
      <c r="C266" s="27" t="s">
        <v>465</v>
      </c>
      <c r="D266" s="27" t="s">
        <v>465</v>
      </c>
    </row>
    <row r="267" spans="2:4" ht="12">
      <c r="B267" s="26">
        <v>265</v>
      </c>
      <c r="C267" s="27" t="s">
        <v>466</v>
      </c>
      <c r="D267" s="27" t="s">
        <v>467</v>
      </c>
    </row>
    <row r="268" spans="2:4">
      <c r="B268" s="26">
        <v>266</v>
      </c>
      <c r="C268" s="27" t="s">
        <v>468</v>
      </c>
      <c r="D268" s="27" t="s">
        <v>469</v>
      </c>
    </row>
    <row r="269" spans="2:4">
      <c r="B269" s="26">
        <v>267</v>
      </c>
      <c r="C269" s="27" t="s">
        <v>356</v>
      </c>
      <c r="D269" s="27" t="s">
        <v>357</v>
      </c>
    </row>
    <row r="270" spans="2:4">
      <c r="B270" s="26">
        <f>B269+1</f>
        <v>268</v>
      </c>
      <c r="C270" s="27" t="s">
        <v>42</v>
      </c>
      <c r="D270" s="27" t="s">
        <v>42</v>
      </c>
    </row>
    <row r="271" spans="2:4" ht="12.75">
      <c r="B271" s="26">
        <v>269</v>
      </c>
      <c r="C271" s="40" t="s">
        <v>470</v>
      </c>
      <c r="D271" s="27" t="s">
        <v>471</v>
      </c>
    </row>
    <row r="272" spans="2:4" ht="12.75">
      <c r="B272" s="26">
        <v>270</v>
      </c>
      <c r="C272" s="40" t="s">
        <v>472</v>
      </c>
      <c r="D272" s="27" t="s">
        <v>473</v>
      </c>
    </row>
    <row r="273" spans="2:7">
      <c r="B273" s="26">
        <v>271</v>
      </c>
      <c r="C273" s="27" t="s">
        <v>474</v>
      </c>
      <c r="D273" s="27" t="s">
        <v>475</v>
      </c>
    </row>
    <row r="274" spans="2:7" ht="12">
      <c r="B274" s="26">
        <v>272</v>
      </c>
      <c r="C274" s="27" t="s">
        <v>476</v>
      </c>
      <c r="D274" s="27" t="s">
        <v>477</v>
      </c>
    </row>
    <row r="275" spans="2:7" ht="12">
      <c r="B275" s="26">
        <v>273</v>
      </c>
      <c r="C275" s="27" t="s">
        <v>478</v>
      </c>
      <c r="D275" s="27" t="s">
        <v>478</v>
      </c>
    </row>
    <row r="276" spans="2:7" ht="11.25" customHeight="1">
      <c r="B276" s="26">
        <v>274</v>
      </c>
      <c r="C276" s="41" t="s">
        <v>479</v>
      </c>
      <c r="D276" s="27" t="s">
        <v>480</v>
      </c>
      <c r="E276" s="42"/>
      <c r="F276" s="42"/>
      <c r="G276" s="42"/>
    </row>
    <row r="277" spans="2:7">
      <c r="B277" s="26">
        <v>275</v>
      </c>
      <c r="C277" s="27" t="s">
        <v>481</v>
      </c>
      <c r="D277" s="27" t="s">
        <v>481</v>
      </c>
    </row>
    <row r="278" spans="2:7">
      <c r="B278" s="26">
        <v>276</v>
      </c>
      <c r="C278" s="43" t="s">
        <v>482</v>
      </c>
      <c r="D278" s="43" t="s">
        <v>483</v>
      </c>
    </row>
    <row r="279" spans="2:7" ht="12">
      <c r="B279" s="26">
        <v>277</v>
      </c>
      <c r="C279" s="27" t="s">
        <v>484</v>
      </c>
      <c r="D279" s="27" t="s">
        <v>485</v>
      </c>
    </row>
    <row r="280" spans="2:7">
      <c r="B280" s="26">
        <v>278</v>
      </c>
      <c r="C280" s="27" t="s">
        <v>486</v>
      </c>
      <c r="D280" s="27" t="s">
        <v>487</v>
      </c>
    </row>
    <row r="281" spans="2:7">
      <c r="B281" s="26">
        <v>279</v>
      </c>
      <c r="C281" s="27" t="s">
        <v>488</v>
      </c>
      <c r="D281" s="27" t="s">
        <v>488</v>
      </c>
    </row>
    <row r="282" spans="2:7" ht="12">
      <c r="B282" s="26">
        <v>280</v>
      </c>
      <c r="C282" s="27" t="s">
        <v>489</v>
      </c>
      <c r="D282" s="27" t="s">
        <v>490</v>
      </c>
    </row>
    <row r="283" spans="2:7">
      <c r="B283" s="26">
        <v>281</v>
      </c>
      <c r="C283" s="27" t="s">
        <v>491</v>
      </c>
      <c r="D283" s="27" t="s">
        <v>492</v>
      </c>
    </row>
    <row r="284" spans="2:7">
      <c r="B284" s="26">
        <v>282</v>
      </c>
      <c r="C284" s="27" t="s">
        <v>493</v>
      </c>
      <c r="D284" s="27" t="s">
        <v>494</v>
      </c>
    </row>
    <row r="285" spans="2:7">
      <c r="B285" s="26">
        <v>283</v>
      </c>
      <c r="C285" s="27" t="s">
        <v>495</v>
      </c>
      <c r="D285" s="27" t="s">
        <v>496</v>
      </c>
    </row>
    <row r="286" spans="2:7">
      <c r="B286" s="26">
        <v>284</v>
      </c>
      <c r="C286" s="43" t="s">
        <v>497</v>
      </c>
      <c r="D286" s="43" t="s">
        <v>498</v>
      </c>
    </row>
    <row r="287" spans="2:7">
      <c r="B287" s="26">
        <v>285</v>
      </c>
      <c r="C287" s="43" t="s">
        <v>499</v>
      </c>
      <c r="D287" s="43" t="s">
        <v>500</v>
      </c>
    </row>
    <row r="288" spans="2:7">
      <c r="B288" s="26">
        <v>286</v>
      </c>
      <c r="C288" s="43" t="s">
        <v>501</v>
      </c>
      <c r="D288" s="43" t="s">
        <v>502</v>
      </c>
    </row>
    <row r="289" spans="2:4">
      <c r="B289" s="26">
        <v>287</v>
      </c>
      <c r="C289" s="43" t="s">
        <v>503</v>
      </c>
      <c r="D289" s="43" t="s">
        <v>504</v>
      </c>
    </row>
    <row r="290" spans="2:4">
      <c r="B290" s="26">
        <v>288</v>
      </c>
      <c r="C290" s="43" t="s">
        <v>505</v>
      </c>
      <c r="D290" s="43" t="s">
        <v>506</v>
      </c>
    </row>
    <row r="291" spans="2:4">
      <c r="B291" s="26">
        <v>289</v>
      </c>
      <c r="C291" s="43" t="s">
        <v>507</v>
      </c>
      <c r="D291" s="43" t="s">
        <v>508</v>
      </c>
    </row>
    <row r="292" spans="2:4">
      <c r="B292" s="26">
        <v>290</v>
      </c>
      <c r="C292" s="27" t="s">
        <v>509</v>
      </c>
      <c r="D292" s="27" t="s">
        <v>510</v>
      </c>
    </row>
    <row r="293" spans="2:4">
      <c r="B293" s="26">
        <v>291</v>
      </c>
      <c r="C293" s="27" t="s">
        <v>13</v>
      </c>
      <c r="D293" s="27" t="s">
        <v>14</v>
      </c>
    </row>
    <row r="294" spans="2:4" ht="12">
      <c r="B294" s="26">
        <f>B293+1</f>
        <v>292</v>
      </c>
      <c r="C294" s="27" t="s">
        <v>511</v>
      </c>
      <c r="D294" s="27" t="s">
        <v>224</v>
      </c>
    </row>
    <row r="295" spans="2:4">
      <c r="B295" s="26">
        <f>B294+1</f>
        <v>293</v>
      </c>
      <c r="C295" s="27" t="s">
        <v>512</v>
      </c>
      <c r="D295" s="27" t="s">
        <v>513</v>
      </c>
    </row>
    <row r="296" spans="2:4">
      <c r="B296" s="26">
        <f>B295+1</f>
        <v>294</v>
      </c>
      <c r="C296" s="43" t="s">
        <v>514</v>
      </c>
      <c r="D296" s="43" t="s">
        <v>500</v>
      </c>
    </row>
    <row r="297" spans="2:4">
      <c r="B297" s="26">
        <v>295</v>
      </c>
      <c r="C297" s="27" t="s">
        <v>515</v>
      </c>
      <c r="D297" s="27" t="s">
        <v>516</v>
      </c>
    </row>
    <row r="298" spans="2:4">
      <c r="B298" s="26">
        <v>296</v>
      </c>
      <c r="C298" s="27" t="s">
        <v>517</v>
      </c>
      <c r="D298" s="27" t="s">
        <v>518</v>
      </c>
    </row>
    <row r="299" spans="2:4">
      <c r="B299" s="26">
        <v>297</v>
      </c>
      <c r="C299" s="43" t="s">
        <v>519</v>
      </c>
      <c r="D299" s="43" t="s">
        <v>520</v>
      </c>
    </row>
    <row r="300" spans="2:4">
      <c r="B300" s="26">
        <f>B299+1</f>
        <v>298</v>
      </c>
      <c r="C300" s="43" t="s">
        <v>521</v>
      </c>
      <c r="D300" s="43" t="s">
        <v>522</v>
      </c>
    </row>
    <row r="301" spans="2:4">
      <c r="B301" s="26">
        <f>B300+1</f>
        <v>299</v>
      </c>
      <c r="C301" s="43" t="s">
        <v>523</v>
      </c>
      <c r="D301" s="43" t="s">
        <v>524</v>
      </c>
    </row>
    <row r="302" spans="2:4">
      <c r="B302" s="26">
        <f t="shared" ref="B302:B365" si="4">B301+1</f>
        <v>300</v>
      </c>
      <c r="C302" s="27" t="s">
        <v>525</v>
      </c>
      <c r="D302" s="27" t="s">
        <v>526</v>
      </c>
    </row>
    <row r="303" spans="2:4">
      <c r="B303" s="26">
        <f t="shared" si="4"/>
        <v>301</v>
      </c>
      <c r="C303" s="27" t="s">
        <v>15</v>
      </c>
      <c r="D303" s="27" t="s">
        <v>16</v>
      </c>
    </row>
    <row r="304" spans="2:4">
      <c r="B304" s="26">
        <f t="shared" si="4"/>
        <v>302</v>
      </c>
      <c r="C304" s="27" t="s">
        <v>527</v>
      </c>
      <c r="D304" s="27" t="s">
        <v>528</v>
      </c>
    </row>
    <row r="305" spans="2:6">
      <c r="B305" s="26">
        <f t="shared" si="4"/>
        <v>303</v>
      </c>
      <c r="C305" s="27" t="s">
        <v>529</v>
      </c>
      <c r="D305" s="27" t="s">
        <v>530</v>
      </c>
    </row>
    <row r="306" spans="2:6">
      <c r="B306" s="26">
        <f t="shared" si="4"/>
        <v>304</v>
      </c>
      <c r="C306" s="27" t="s">
        <v>531</v>
      </c>
      <c r="D306" s="27" t="s">
        <v>532</v>
      </c>
    </row>
    <row r="307" spans="2:6">
      <c r="B307" s="26">
        <f t="shared" si="4"/>
        <v>305</v>
      </c>
      <c r="C307" s="27" t="s">
        <v>533</v>
      </c>
      <c r="D307" s="27" t="s">
        <v>534</v>
      </c>
    </row>
    <row r="308" spans="2:6">
      <c r="B308" s="26">
        <f t="shared" si="4"/>
        <v>306</v>
      </c>
      <c r="C308" s="27" t="s">
        <v>535</v>
      </c>
      <c r="D308" s="27" t="s">
        <v>536</v>
      </c>
    </row>
    <row r="309" spans="2:6">
      <c r="B309" s="26">
        <f t="shared" si="4"/>
        <v>307</v>
      </c>
      <c r="C309" s="43" t="s">
        <v>537</v>
      </c>
      <c r="D309" s="43" t="s">
        <v>538</v>
      </c>
      <c r="F309" s="27"/>
    </row>
    <row r="310" spans="2:6">
      <c r="B310" s="26">
        <f t="shared" si="4"/>
        <v>308</v>
      </c>
      <c r="C310" s="27" t="s">
        <v>539</v>
      </c>
      <c r="D310" s="27" t="s">
        <v>540</v>
      </c>
    </row>
    <row r="311" spans="2:6">
      <c r="B311" s="26">
        <f t="shared" si="4"/>
        <v>309</v>
      </c>
      <c r="C311" s="27" t="s">
        <v>541</v>
      </c>
      <c r="D311" s="27" t="s">
        <v>542</v>
      </c>
    </row>
    <row r="312" spans="2:6">
      <c r="B312" s="26">
        <f t="shared" si="4"/>
        <v>310</v>
      </c>
      <c r="C312" s="43" t="s">
        <v>543</v>
      </c>
      <c r="D312" s="43" t="s">
        <v>544</v>
      </c>
    </row>
    <row r="313" spans="2:6">
      <c r="B313" s="26">
        <f t="shared" si="4"/>
        <v>311</v>
      </c>
      <c r="C313" s="27" t="s">
        <v>545</v>
      </c>
      <c r="D313" s="27" t="s">
        <v>546</v>
      </c>
    </row>
    <row r="314" spans="2:6">
      <c r="B314" s="26">
        <f t="shared" si="4"/>
        <v>312</v>
      </c>
      <c r="C314" s="43" t="s">
        <v>537</v>
      </c>
      <c r="D314" s="43" t="s">
        <v>538</v>
      </c>
    </row>
    <row r="315" spans="2:6">
      <c r="B315" s="26">
        <f t="shared" si="4"/>
        <v>313</v>
      </c>
      <c r="C315" s="43" t="s">
        <v>499</v>
      </c>
      <c r="D315" s="43" t="s">
        <v>500</v>
      </c>
    </row>
    <row r="316" spans="2:6">
      <c r="B316" s="26">
        <f t="shared" si="4"/>
        <v>314</v>
      </c>
      <c r="C316" s="27" t="s">
        <v>547</v>
      </c>
      <c r="D316" s="27" t="s">
        <v>548</v>
      </c>
    </row>
    <row r="317" spans="2:6">
      <c r="B317" s="26">
        <f t="shared" si="4"/>
        <v>315</v>
      </c>
      <c r="C317" s="27" t="s">
        <v>223</v>
      </c>
      <c r="D317" s="27" t="s">
        <v>549</v>
      </c>
    </row>
    <row r="318" spans="2:6">
      <c r="B318" s="26">
        <f t="shared" si="4"/>
        <v>316</v>
      </c>
      <c r="C318" s="43" t="s">
        <v>550</v>
      </c>
      <c r="D318" s="43" t="s">
        <v>551</v>
      </c>
    </row>
    <row r="319" spans="2:6">
      <c r="B319" s="26">
        <f t="shared" si="4"/>
        <v>317</v>
      </c>
      <c r="C319" s="36" t="s">
        <v>745</v>
      </c>
      <c r="D319" s="27" t="s">
        <v>746</v>
      </c>
    </row>
    <row r="320" spans="2:6">
      <c r="B320" s="26">
        <f t="shared" si="4"/>
        <v>318</v>
      </c>
      <c r="C320" s="27" t="s">
        <v>552</v>
      </c>
      <c r="D320" s="29" t="s">
        <v>553</v>
      </c>
    </row>
    <row r="321" spans="2:4">
      <c r="B321" s="26">
        <f t="shared" si="4"/>
        <v>319</v>
      </c>
      <c r="C321" s="27" t="s">
        <v>554</v>
      </c>
      <c r="D321" s="27" t="s">
        <v>555</v>
      </c>
    </row>
    <row r="322" spans="2:4">
      <c r="B322" s="26">
        <f t="shared" si="4"/>
        <v>320</v>
      </c>
      <c r="C322" s="27" t="s">
        <v>556</v>
      </c>
      <c r="D322" s="27" t="s">
        <v>557</v>
      </c>
    </row>
    <row r="323" spans="2:4">
      <c r="B323" s="26">
        <f t="shared" si="4"/>
        <v>321</v>
      </c>
      <c r="C323" s="27" t="s">
        <v>558</v>
      </c>
      <c r="D323" s="27" t="s">
        <v>559</v>
      </c>
    </row>
    <row r="324" spans="2:4">
      <c r="B324" s="26">
        <f t="shared" si="4"/>
        <v>322</v>
      </c>
      <c r="C324" s="27" t="s">
        <v>560</v>
      </c>
      <c r="D324" s="27" t="s">
        <v>561</v>
      </c>
    </row>
    <row r="325" spans="2:4">
      <c r="B325" s="26">
        <f t="shared" si="4"/>
        <v>323</v>
      </c>
      <c r="C325" s="27" t="s">
        <v>562</v>
      </c>
      <c r="D325" s="27" t="s">
        <v>563</v>
      </c>
    </row>
    <row r="326" spans="2:4">
      <c r="B326" s="26">
        <f t="shared" si="4"/>
        <v>324</v>
      </c>
      <c r="C326" s="27" t="s">
        <v>564</v>
      </c>
      <c r="D326" s="27" t="s">
        <v>565</v>
      </c>
    </row>
    <row r="327" spans="2:4">
      <c r="B327" s="26">
        <f t="shared" si="4"/>
        <v>325</v>
      </c>
      <c r="C327" s="27" t="s">
        <v>566</v>
      </c>
      <c r="D327" s="27" t="s">
        <v>567</v>
      </c>
    </row>
    <row r="328" spans="2:4">
      <c r="B328" s="26">
        <f t="shared" si="4"/>
        <v>326</v>
      </c>
      <c r="C328" s="27" t="s">
        <v>568</v>
      </c>
      <c r="D328" s="27" t="s">
        <v>569</v>
      </c>
    </row>
    <row r="329" spans="2:4">
      <c r="B329" s="26">
        <f t="shared" si="4"/>
        <v>327</v>
      </c>
      <c r="C329" s="27" t="s">
        <v>570</v>
      </c>
      <c r="D329" s="27" t="s">
        <v>571</v>
      </c>
    </row>
    <row r="330" spans="2:4">
      <c r="B330" s="26">
        <f t="shared" si="4"/>
        <v>328</v>
      </c>
      <c r="C330" s="27" t="s">
        <v>572</v>
      </c>
      <c r="D330" s="27" t="s">
        <v>573</v>
      </c>
    </row>
    <row r="331" spans="2:4">
      <c r="B331" s="26">
        <f t="shared" si="4"/>
        <v>329</v>
      </c>
      <c r="C331" s="27" t="s">
        <v>574</v>
      </c>
      <c r="D331" s="27" t="s">
        <v>575</v>
      </c>
    </row>
    <row r="332" spans="2:4">
      <c r="B332" s="26">
        <f t="shared" si="4"/>
        <v>330</v>
      </c>
      <c r="C332" s="27" t="s">
        <v>576</v>
      </c>
      <c r="D332" s="27" t="s">
        <v>577</v>
      </c>
    </row>
    <row r="333" spans="2:4">
      <c r="B333" s="26">
        <f t="shared" si="4"/>
        <v>331</v>
      </c>
      <c r="C333" s="27" t="s">
        <v>578</v>
      </c>
      <c r="D333" s="27" t="s">
        <v>579</v>
      </c>
    </row>
    <row r="334" spans="2:4">
      <c r="B334" s="26">
        <f t="shared" si="4"/>
        <v>332</v>
      </c>
      <c r="C334" s="27" t="s">
        <v>580</v>
      </c>
      <c r="D334" s="27" t="s">
        <v>581</v>
      </c>
    </row>
    <row r="335" spans="2:4">
      <c r="B335" s="26">
        <f t="shared" si="4"/>
        <v>333</v>
      </c>
      <c r="C335" s="27" t="s">
        <v>582</v>
      </c>
      <c r="D335" s="27" t="s">
        <v>583</v>
      </c>
    </row>
    <row r="336" spans="2:4">
      <c r="B336" s="26">
        <f t="shared" si="4"/>
        <v>334</v>
      </c>
      <c r="C336" s="27" t="s">
        <v>584</v>
      </c>
      <c r="D336" s="27" t="s">
        <v>585</v>
      </c>
    </row>
    <row r="337" spans="2:4">
      <c r="B337" s="26">
        <f t="shared" si="4"/>
        <v>335</v>
      </c>
      <c r="C337" s="27" t="s">
        <v>586</v>
      </c>
      <c r="D337" s="27" t="s">
        <v>587</v>
      </c>
    </row>
    <row r="338" spans="2:4" ht="12">
      <c r="B338" s="26">
        <f t="shared" si="4"/>
        <v>336</v>
      </c>
      <c r="C338" s="27" t="s">
        <v>511</v>
      </c>
      <c r="D338" s="27" t="s">
        <v>224</v>
      </c>
    </row>
    <row r="339" spans="2:4">
      <c r="B339" s="26">
        <f t="shared" si="4"/>
        <v>337</v>
      </c>
      <c r="C339" s="27" t="s">
        <v>588</v>
      </c>
      <c r="D339" s="27" t="s">
        <v>589</v>
      </c>
    </row>
    <row r="340" spans="2:4">
      <c r="B340" s="26">
        <f t="shared" si="4"/>
        <v>338</v>
      </c>
      <c r="C340" s="27">
        <v>2016</v>
      </c>
      <c r="D340" s="27">
        <v>2016</v>
      </c>
    </row>
    <row r="341" spans="2:4">
      <c r="B341" s="26">
        <f t="shared" si="4"/>
        <v>339</v>
      </c>
      <c r="C341" s="27">
        <v>2015</v>
      </c>
      <c r="D341" s="27">
        <v>2015</v>
      </c>
    </row>
    <row r="342" spans="2:4">
      <c r="B342" s="26">
        <f t="shared" si="4"/>
        <v>340</v>
      </c>
      <c r="C342" s="36" t="s">
        <v>590</v>
      </c>
      <c r="D342" s="36" t="s">
        <v>10</v>
      </c>
    </row>
    <row r="343" spans="2:4" ht="12.75">
      <c r="B343" s="26">
        <f t="shared" si="4"/>
        <v>341</v>
      </c>
      <c r="C343" s="44" t="s">
        <v>591</v>
      </c>
      <c r="D343" s="36" t="s">
        <v>592</v>
      </c>
    </row>
    <row r="344" spans="2:4">
      <c r="B344" s="26">
        <f t="shared" si="4"/>
        <v>342</v>
      </c>
      <c r="C344" s="27" t="s">
        <v>593</v>
      </c>
      <c r="D344" s="27" t="s">
        <v>594</v>
      </c>
    </row>
    <row r="345" spans="2:4" ht="12.75">
      <c r="B345" s="26">
        <f t="shared" si="4"/>
        <v>343</v>
      </c>
      <c r="C345" s="40" t="s">
        <v>595</v>
      </c>
      <c r="D345" s="27" t="s">
        <v>596</v>
      </c>
    </row>
    <row r="346" spans="2:4" ht="12.75" customHeight="1">
      <c r="B346" s="26">
        <f t="shared" si="4"/>
        <v>344</v>
      </c>
      <c r="C346" s="27" t="s">
        <v>597</v>
      </c>
      <c r="D346" s="29" t="s">
        <v>553</v>
      </c>
    </row>
    <row r="347" spans="2:4">
      <c r="B347" s="26">
        <f t="shared" si="4"/>
        <v>345</v>
      </c>
      <c r="C347" s="36" t="s">
        <v>598</v>
      </c>
      <c r="D347" s="27" t="s">
        <v>599</v>
      </c>
    </row>
    <row r="348" spans="2:4">
      <c r="B348" s="26">
        <f t="shared" si="4"/>
        <v>346</v>
      </c>
      <c r="C348" s="27" t="s">
        <v>600</v>
      </c>
      <c r="D348" s="27" t="s">
        <v>601</v>
      </c>
    </row>
    <row r="349" spans="2:4">
      <c r="B349" s="26">
        <f t="shared" si="4"/>
        <v>347</v>
      </c>
      <c r="C349" s="27" t="s">
        <v>602</v>
      </c>
      <c r="D349" s="27" t="s">
        <v>603</v>
      </c>
    </row>
    <row r="350" spans="2:4">
      <c r="B350" s="26">
        <f t="shared" si="4"/>
        <v>348</v>
      </c>
      <c r="C350" s="27" t="s">
        <v>604</v>
      </c>
      <c r="D350" s="27" t="s">
        <v>605</v>
      </c>
    </row>
    <row r="351" spans="2:4">
      <c r="B351" s="26">
        <f t="shared" si="4"/>
        <v>349</v>
      </c>
      <c r="C351" s="27" t="s">
        <v>606</v>
      </c>
      <c r="D351" s="27" t="s">
        <v>181</v>
      </c>
    </row>
    <row r="352" spans="2:4">
      <c r="B352" s="26">
        <f t="shared" si="4"/>
        <v>350</v>
      </c>
      <c r="C352" s="27" t="s">
        <v>607</v>
      </c>
      <c r="D352" s="27" t="s">
        <v>608</v>
      </c>
    </row>
    <row r="353" spans="2:4">
      <c r="B353" s="26">
        <f t="shared" si="4"/>
        <v>351</v>
      </c>
      <c r="C353" s="27" t="s">
        <v>609</v>
      </c>
      <c r="D353" s="27" t="s">
        <v>610</v>
      </c>
    </row>
    <row r="354" spans="2:4">
      <c r="B354" s="26">
        <f t="shared" si="4"/>
        <v>352</v>
      </c>
      <c r="C354" s="27" t="s">
        <v>611</v>
      </c>
      <c r="D354" s="27" t="s">
        <v>612</v>
      </c>
    </row>
    <row r="355" spans="2:4">
      <c r="B355" s="26">
        <f t="shared" si="4"/>
        <v>353</v>
      </c>
      <c r="C355" s="27" t="s">
        <v>613</v>
      </c>
      <c r="D355" s="27" t="s">
        <v>614</v>
      </c>
    </row>
    <row r="356" spans="2:4">
      <c r="B356" s="26">
        <f t="shared" si="4"/>
        <v>354</v>
      </c>
      <c r="C356" s="27" t="s">
        <v>615</v>
      </c>
      <c r="D356" s="27" t="s">
        <v>616</v>
      </c>
    </row>
    <row r="357" spans="2:4">
      <c r="B357" s="26">
        <f t="shared" si="4"/>
        <v>355</v>
      </c>
      <c r="C357" s="27" t="s">
        <v>617</v>
      </c>
      <c r="D357" s="27" t="s">
        <v>618</v>
      </c>
    </row>
    <row r="358" spans="2:4">
      <c r="B358" s="26">
        <f t="shared" si="4"/>
        <v>356</v>
      </c>
      <c r="C358" s="27" t="s">
        <v>619</v>
      </c>
      <c r="D358" s="27" t="s">
        <v>620</v>
      </c>
    </row>
    <row r="359" spans="2:4">
      <c r="B359" s="26">
        <f t="shared" si="4"/>
        <v>357</v>
      </c>
      <c r="C359" s="27" t="s">
        <v>621</v>
      </c>
      <c r="D359" s="27" t="s">
        <v>622</v>
      </c>
    </row>
    <row r="360" spans="2:4">
      <c r="B360" s="26">
        <f t="shared" si="4"/>
        <v>358</v>
      </c>
      <c r="C360" s="27" t="s">
        <v>623</v>
      </c>
      <c r="D360" s="27" t="s">
        <v>623</v>
      </c>
    </row>
    <row r="361" spans="2:4">
      <c r="B361" s="26">
        <f t="shared" si="4"/>
        <v>359</v>
      </c>
      <c r="C361" s="27" t="s">
        <v>624</v>
      </c>
      <c r="D361" s="27" t="s">
        <v>625</v>
      </c>
    </row>
    <row r="362" spans="2:4">
      <c r="B362" s="26">
        <f t="shared" si="4"/>
        <v>360</v>
      </c>
      <c r="C362" s="27" t="s">
        <v>626</v>
      </c>
      <c r="D362" s="27" t="s">
        <v>627</v>
      </c>
    </row>
    <row r="363" spans="2:4">
      <c r="B363" s="45">
        <f t="shared" si="4"/>
        <v>361</v>
      </c>
      <c r="C363" s="27" t="s">
        <v>628</v>
      </c>
      <c r="D363" s="27" t="s">
        <v>629</v>
      </c>
    </row>
    <row r="364" spans="2:4">
      <c r="B364" s="45">
        <f t="shared" si="4"/>
        <v>362</v>
      </c>
      <c r="C364" s="43" t="s">
        <v>630</v>
      </c>
      <c r="D364" s="43" t="s">
        <v>631</v>
      </c>
    </row>
    <row r="365" spans="2:4">
      <c r="B365" s="45">
        <f t="shared" si="4"/>
        <v>363</v>
      </c>
      <c r="C365" s="27" t="s">
        <v>632</v>
      </c>
      <c r="D365" s="43" t="s">
        <v>633</v>
      </c>
    </row>
    <row r="366" spans="2:4">
      <c r="B366" s="45">
        <f t="shared" ref="B366:B429" si="5">B365+1</f>
        <v>364</v>
      </c>
      <c r="C366" s="27" t="s">
        <v>634</v>
      </c>
      <c r="D366" s="43" t="s">
        <v>634</v>
      </c>
    </row>
    <row r="367" spans="2:4">
      <c r="B367" s="45">
        <f t="shared" si="5"/>
        <v>365</v>
      </c>
      <c r="C367" s="27" t="s">
        <v>635</v>
      </c>
      <c r="D367" s="43" t="s">
        <v>636</v>
      </c>
    </row>
    <row r="368" spans="2:4">
      <c r="B368" s="45">
        <f t="shared" si="5"/>
        <v>366</v>
      </c>
      <c r="C368" s="27" t="s">
        <v>637</v>
      </c>
      <c r="D368" s="43" t="s">
        <v>638</v>
      </c>
    </row>
    <row r="369" spans="2:4">
      <c r="B369" s="45">
        <f t="shared" si="5"/>
        <v>367</v>
      </c>
      <c r="C369" s="27" t="s">
        <v>639</v>
      </c>
      <c r="D369" s="43" t="s">
        <v>640</v>
      </c>
    </row>
    <row r="370" spans="2:4">
      <c r="B370" s="45">
        <f t="shared" si="5"/>
        <v>368</v>
      </c>
      <c r="C370" s="43" t="s">
        <v>641</v>
      </c>
      <c r="D370" s="43" t="s">
        <v>641</v>
      </c>
    </row>
    <row r="371" spans="2:4">
      <c r="B371" s="45">
        <f t="shared" si="5"/>
        <v>369</v>
      </c>
      <c r="C371" s="27" t="s">
        <v>642</v>
      </c>
      <c r="D371" s="27" t="s">
        <v>643</v>
      </c>
    </row>
    <row r="372" spans="2:4">
      <c r="B372" s="45">
        <f t="shared" si="5"/>
        <v>370</v>
      </c>
      <c r="C372" s="27" t="s">
        <v>644</v>
      </c>
      <c r="D372" s="27" t="s">
        <v>644</v>
      </c>
    </row>
    <row r="373" spans="2:4">
      <c r="B373" s="45">
        <f t="shared" si="5"/>
        <v>371</v>
      </c>
      <c r="C373" s="27" t="s">
        <v>645</v>
      </c>
      <c r="D373" s="27" t="s">
        <v>645</v>
      </c>
    </row>
    <row r="374" spans="2:4">
      <c r="B374" s="45">
        <f t="shared" si="5"/>
        <v>372</v>
      </c>
      <c r="C374" s="27" t="s">
        <v>646</v>
      </c>
      <c r="D374" s="27" t="s">
        <v>646</v>
      </c>
    </row>
    <row r="375" spans="2:4">
      <c r="B375" s="45">
        <f t="shared" si="5"/>
        <v>373</v>
      </c>
      <c r="C375" s="27" t="s">
        <v>647</v>
      </c>
      <c r="D375" s="27" t="s">
        <v>647</v>
      </c>
    </row>
    <row r="376" spans="2:4">
      <c r="B376" s="45">
        <f t="shared" si="5"/>
        <v>374</v>
      </c>
      <c r="C376" s="27" t="s">
        <v>648</v>
      </c>
      <c r="D376" s="27" t="s">
        <v>648</v>
      </c>
    </row>
    <row r="377" spans="2:4">
      <c r="B377" s="45">
        <f t="shared" si="5"/>
        <v>375</v>
      </c>
      <c r="C377" s="27" t="s">
        <v>649</v>
      </c>
      <c r="D377" s="27" t="s">
        <v>649</v>
      </c>
    </row>
    <row r="378" spans="2:4">
      <c r="B378" s="45">
        <f t="shared" si="5"/>
        <v>376</v>
      </c>
      <c r="C378" s="27" t="s">
        <v>650</v>
      </c>
      <c r="D378" s="27" t="s">
        <v>650</v>
      </c>
    </row>
    <row r="379" spans="2:4">
      <c r="B379" s="45">
        <f t="shared" si="5"/>
        <v>377</v>
      </c>
      <c r="C379" s="27" t="s">
        <v>651</v>
      </c>
      <c r="D379" s="27" t="s">
        <v>652</v>
      </c>
    </row>
    <row r="380" spans="2:4">
      <c r="B380" s="45">
        <f t="shared" si="5"/>
        <v>378</v>
      </c>
      <c r="C380" s="27" t="s">
        <v>653</v>
      </c>
      <c r="D380" s="27" t="s">
        <v>654</v>
      </c>
    </row>
    <row r="381" spans="2:4">
      <c r="B381" s="45">
        <f t="shared" si="5"/>
        <v>379</v>
      </c>
      <c r="C381" s="27" t="s">
        <v>655</v>
      </c>
      <c r="D381" s="27" t="s">
        <v>656</v>
      </c>
    </row>
    <row r="382" spans="2:4">
      <c r="B382" s="45">
        <f t="shared" si="5"/>
        <v>380</v>
      </c>
      <c r="C382" s="27" t="s">
        <v>657</v>
      </c>
      <c r="D382" s="27" t="s">
        <v>657</v>
      </c>
    </row>
    <row r="383" spans="2:4">
      <c r="B383" s="45">
        <f t="shared" si="5"/>
        <v>381</v>
      </c>
      <c r="C383" s="27" t="s">
        <v>658</v>
      </c>
      <c r="D383" s="27" t="s">
        <v>659</v>
      </c>
    </row>
    <row r="384" spans="2:4">
      <c r="B384" s="45">
        <f t="shared" si="5"/>
        <v>382</v>
      </c>
      <c r="C384" s="43" t="s">
        <v>660</v>
      </c>
      <c r="D384" s="43" t="s">
        <v>661</v>
      </c>
    </row>
    <row r="385" spans="2:4">
      <c r="B385" s="45">
        <f t="shared" si="5"/>
        <v>383</v>
      </c>
      <c r="C385" s="27" t="s">
        <v>662</v>
      </c>
      <c r="D385" s="27" t="s">
        <v>663</v>
      </c>
    </row>
    <row r="386" spans="2:4">
      <c r="B386" s="45">
        <f t="shared" si="5"/>
        <v>384</v>
      </c>
      <c r="C386" s="27" t="s">
        <v>664</v>
      </c>
      <c r="D386" s="27" t="s">
        <v>665</v>
      </c>
    </row>
    <row r="387" spans="2:4">
      <c r="B387" s="45">
        <f t="shared" si="5"/>
        <v>385</v>
      </c>
      <c r="C387" s="27" t="s">
        <v>666</v>
      </c>
      <c r="D387" s="27" t="s">
        <v>667</v>
      </c>
    </row>
    <row r="388" spans="2:4">
      <c r="B388" s="45">
        <f t="shared" si="5"/>
        <v>386</v>
      </c>
      <c r="C388" s="27" t="s">
        <v>668</v>
      </c>
      <c r="D388" s="27" t="s">
        <v>669</v>
      </c>
    </row>
    <row r="389" spans="2:4">
      <c r="B389" s="45">
        <f t="shared" si="5"/>
        <v>387</v>
      </c>
      <c r="C389" s="27" t="s">
        <v>670</v>
      </c>
      <c r="D389" s="27" t="s">
        <v>671</v>
      </c>
    </row>
    <row r="390" spans="2:4">
      <c r="B390" s="45">
        <f t="shared" si="5"/>
        <v>388</v>
      </c>
      <c r="C390" s="27" t="s">
        <v>672</v>
      </c>
      <c r="D390" s="27" t="s">
        <v>673</v>
      </c>
    </row>
    <row r="391" spans="2:4">
      <c r="B391" s="45">
        <f t="shared" si="5"/>
        <v>389</v>
      </c>
      <c r="C391" s="27" t="s">
        <v>394</v>
      </c>
      <c r="D391" s="27" t="s">
        <v>652</v>
      </c>
    </row>
    <row r="392" spans="2:4">
      <c r="B392" s="45">
        <f t="shared" si="5"/>
        <v>390</v>
      </c>
      <c r="C392" s="27" t="s">
        <v>674</v>
      </c>
      <c r="D392" s="27" t="s">
        <v>675</v>
      </c>
    </row>
    <row r="393" spans="2:4" ht="12.75">
      <c r="B393" s="45">
        <f t="shared" si="5"/>
        <v>391</v>
      </c>
      <c r="C393" s="46" t="s">
        <v>676</v>
      </c>
      <c r="D393" s="46" t="s">
        <v>677</v>
      </c>
    </row>
    <row r="394" spans="2:4" ht="12.75">
      <c r="B394" s="45">
        <f t="shared" si="5"/>
        <v>392</v>
      </c>
      <c r="C394" s="46" t="s">
        <v>678</v>
      </c>
      <c r="D394" s="46" t="s">
        <v>679</v>
      </c>
    </row>
    <row r="395" spans="2:4" ht="12.75">
      <c r="B395" s="45">
        <f t="shared" si="5"/>
        <v>393</v>
      </c>
      <c r="C395" s="46" t="s">
        <v>680</v>
      </c>
      <c r="D395" s="46" t="s">
        <v>681</v>
      </c>
    </row>
    <row r="396" spans="2:4" ht="12.75">
      <c r="B396" s="45">
        <f t="shared" si="5"/>
        <v>394</v>
      </c>
      <c r="C396" s="46" t="s">
        <v>682</v>
      </c>
      <c r="D396" s="46" t="s">
        <v>683</v>
      </c>
    </row>
    <row r="397" spans="2:4" ht="12.75">
      <c r="B397" s="45">
        <f t="shared" si="5"/>
        <v>395</v>
      </c>
      <c r="C397" s="46" t="s">
        <v>684</v>
      </c>
      <c r="D397" s="46" t="s">
        <v>685</v>
      </c>
    </row>
    <row r="398" spans="2:4">
      <c r="B398" s="45">
        <f t="shared" si="5"/>
        <v>396</v>
      </c>
      <c r="C398" s="27" t="s">
        <v>686</v>
      </c>
      <c r="D398" s="27" t="s">
        <v>687</v>
      </c>
    </row>
    <row r="399" spans="2:4" ht="12.75">
      <c r="B399" s="45">
        <f t="shared" si="5"/>
        <v>397</v>
      </c>
      <c r="C399" s="47" t="s">
        <v>688</v>
      </c>
      <c r="D399" s="46" t="s">
        <v>689</v>
      </c>
    </row>
    <row r="400" spans="2:4" ht="12.75">
      <c r="B400" s="45">
        <f t="shared" si="5"/>
        <v>398</v>
      </c>
      <c r="C400" s="47" t="s">
        <v>690</v>
      </c>
      <c r="D400" s="46" t="s">
        <v>691</v>
      </c>
    </row>
    <row r="401" spans="2:6" ht="12.75">
      <c r="B401" s="45">
        <f t="shared" si="5"/>
        <v>399</v>
      </c>
      <c r="C401" s="46" t="s">
        <v>692</v>
      </c>
      <c r="D401" s="46" t="s">
        <v>693</v>
      </c>
    </row>
    <row r="402" spans="2:6" ht="12.75">
      <c r="B402" s="45">
        <f t="shared" si="5"/>
        <v>400</v>
      </c>
      <c r="C402" s="46" t="s">
        <v>694</v>
      </c>
      <c r="D402" s="46" t="s">
        <v>695</v>
      </c>
    </row>
    <row r="403" spans="2:6" ht="12.75">
      <c r="B403" s="45">
        <f t="shared" si="5"/>
        <v>401</v>
      </c>
      <c r="C403" s="46" t="s">
        <v>696</v>
      </c>
      <c r="D403" s="46" t="s">
        <v>697</v>
      </c>
    </row>
    <row r="404" spans="2:6" ht="12.75">
      <c r="B404" s="45">
        <f t="shared" si="5"/>
        <v>402</v>
      </c>
      <c r="C404" s="46" t="s">
        <v>651</v>
      </c>
      <c r="D404" s="46" t="s">
        <v>652</v>
      </c>
    </row>
    <row r="405" spans="2:6" ht="12.75">
      <c r="B405" s="45">
        <f t="shared" si="5"/>
        <v>403</v>
      </c>
      <c r="C405" s="46" t="s">
        <v>698</v>
      </c>
      <c r="D405" s="46" t="s">
        <v>699</v>
      </c>
    </row>
    <row r="406" spans="2:6" ht="12.75">
      <c r="B406" s="45">
        <f t="shared" si="5"/>
        <v>404</v>
      </c>
      <c r="C406" s="46" t="s">
        <v>700</v>
      </c>
      <c r="D406" s="46" t="s">
        <v>701</v>
      </c>
    </row>
    <row r="407" spans="2:6" ht="12.75">
      <c r="B407" s="45">
        <f t="shared" si="5"/>
        <v>405</v>
      </c>
      <c r="C407" s="48" t="s">
        <v>702</v>
      </c>
      <c r="D407" s="48" t="s">
        <v>703</v>
      </c>
    </row>
    <row r="408" spans="2:6" ht="12.75">
      <c r="B408" s="45">
        <f t="shared" si="5"/>
        <v>406</v>
      </c>
      <c r="C408" s="30" t="s">
        <v>704</v>
      </c>
      <c r="D408" s="30" t="s">
        <v>705</v>
      </c>
    </row>
    <row r="409" spans="2:6" ht="12.75">
      <c r="B409" s="45">
        <f t="shared" si="5"/>
        <v>407</v>
      </c>
      <c r="C409" s="48" t="s">
        <v>706</v>
      </c>
      <c r="D409" s="48" t="s">
        <v>707</v>
      </c>
    </row>
    <row r="410" spans="2:6" ht="12.75">
      <c r="B410" s="45">
        <f t="shared" si="5"/>
        <v>408</v>
      </c>
      <c r="C410" s="33" t="s">
        <v>708</v>
      </c>
      <c r="D410" s="33" t="s">
        <v>709</v>
      </c>
    </row>
    <row r="411" spans="2:6" ht="76.5">
      <c r="B411" s="45">
        <f t="shared" si="5"/>
        <v>409</v>
      </c>
      <c r="C411" s="32" t="s">
        <v>710</v>
      </c>
      <c r="D411" s="49" t="s">
        <v>711</v>
      </c>
      <c r="E411" s="49"/>
      <c r="F411" s="32"/>
    </row>
    <row r="412" spans="2:6" ht="25.5">
      <c r="B412" s="45">
        <f t="shared" si="5"/>
        <v>410</v>
      </c>
      <c r="C412" s="50" t="s">
        <v>712</v>
      </c>
      <c r="D412" s="50" t="s">
        <v>713</v>
      </c>
    </row>
    <row r="413" spans="2:6" ht="12.75">
      <c r="B413" s="45">
        <f t="shared" si="5"/>
        <v>411</v>
      </c>
      <c r="C413" s="33" t="s">
        <v>714</v>
      </c>
      <c r="D413" s="33" t="s">
        <v>715</v>
      </c>
    </row>
    <row r="414" spans="2:6" ht="12.75">
      <c r="B414" s="45">
        <f t="shared" si="5"/>
        <v>412</v>
      </c>
      <c r="C414" s="33" t="s">
        <v>716</v>
      </c>
      <c r="D414" s="33" t="s">
        <v>717</v>
      </c>
    </row>
    <row r="415" spans="2:6" ht="12.75">
      <c r="B415" s="45">
        <f t="shared" si="5"/>
        <v>413</v>
      </c>
      <c r="C415" s="33" t="s">
        <v>718</v>
      </c>
      <c r="D415" s="33" t="s">
        <v>719</v>
      </c>
    </row>
    <row r="416" spans="2:6" ht="12">
      <c r="B416" s="45">
        <f t="shared" si="5"/>
        <v>414</v>
      </c>
      <c r="C416" s="47" t="s">
        <v>720</v>
      </c>
      <c r="D416" s="47" t="s">
        <v>721</v>
      </c>
    </row>
    <row r="417" spans="2:4" ht="12">
      <c r="B417" s="45">
        <f t="shared" si="5"/>
        <v>415</v>
      </c>
      <c r="C417" s="47" t="s">
        <v>722</v>
      </c>
      <c r="D417" s="47" t="s">
        <v>723</v>
      </c>
    </row>
    <row r="418" spans="2:4" ht="12">
      <c r="B418" s="45">
        <f t="shared" si="5"/>
        <v>416</v>
      </c>
      <c r="C418" s="47" t="s">
        <v>724</v>
      </c>
      <c r="D418" s="47" t="s">
        <v>725</v>
      </c>
    </row>
    <row r="419" spans="2:4" ht="12">
      <c r="B419" s="45">
        <f t="shared" si="5"/>
        <v>417</v>
      </c>
      <c r="C419" s="47" t="s">
        <v>372</v>
      </c>
      <c r="D419" s="47" t="s">
        <v>373</v>
      </c>
    </row>
    <row r="420" spans="2:4" ht="12">
      <c r="B420" s="45">
        <f t="shared" si="5"/>
        <v>418</v>
      </c>
      <c r="C420" s="47" t="s">
        <v>726</v>
      </c>
      <c r="D420" s="47" t="s">
        <v>727</v>
      </c>
    </row>
    <row r="421" spans="2:4" ht="12">
      <c r="B421" s="45">
        <f t="shared" si="5"/>
        <v>419</v>
      </c>
      <c r="C421" s="47" t="s">
        <v>728</v>
      </c>
      <c r="D421" s="47" t="s">
        <v>729</v>
      </c>
    </row>
    <row r="422" spans="2:4" ht="12">
      <c r="B422" s="45">
        <f t="shared" si="5"/>
        <v>420</v>
      </c>
      <c r="C422" s="47" t="s">
        <v>730</v>
      </c>
      <c r="D422" s="47" t="s">
        <v>731</v>
      </c>
    </row>
    <row r="423" spans="2:4" ht="12">
      <c r="B423" s="45">
        <f t="shared" si="5"/>
        <v>421</v>
      </c>
      <c r="C423" s="47" t="s">
        <v>732</v>
      </c>
      <c r="D423" s="47" t="s">
        <v>733</v>
      </c>
    </row>
    <row r="424" spans="2:4" ht="12">
      <c r="B424" s="45">
        <f t="shared" si="5"/>
        <v>422</v>
      </c>
      <c r="C424" s="47" t="s">
        <v>734</v>
      </c>
      <c r="D424" s="47" t="s">
        <v>735</v>
      </c>
    </row>
    <row r="425" spans="2:4" ht="25.5">
      <c r="B425" s="45">
        <f t="shared" si="5"/>
        <v>423</v>
      </c>
      <c r="C425" s="30" t="s">
        <v>736</v>
      </c>
      <c r="D425" s="30" t="s">
        <v>737</v>
      </c>
    </row>
    <row r="426" spans="2:4">
      <c r="B426" s="45">
        <f t="shared" si="5"/>
        <v>424</v>
      </c>
      <c r="C426" s="51" t="s">
        <v>738</v>
      </c>
      <c r="D426" s="51" t="s">
        <v>739</v>
      </c>
    </row>
    <row r="427" spans="2:4">
      <c r="B427" s="45">
        <f t="shared" si="5"/>
        <v>425</v>
      </c>
      <c r="C427" s="36" t="s">
        <v>740</v>
      </c>
      <c r="D427" s="36" t="s">
        <v>741</v>
      </c>
    </row>
    <row r="428" spans="2:4">
      <c r="B428" s="45">
        <f t="shared" si="5"/>
        <v>426</v>
      </c>
      <c r="C428" s="27" t="s">
        <v>747</v>
      </c>
      <c r="D428" s="27" t="s">
        <v>748</v>
      </c>
    </row>
    <row r="429" spans="2:4">
      <c r="B429" s="45">
        <f t="shared" si="5"/>
        <v>427</v>
      </c>
      <c r="C429" s="27" t="s">
        <v>750</v>
      </c>
      <c r="D429" s="27" t="s">
        <v>750</v>
      </c>
    </row>
    <row r="430" spans="2:4">
      <c r="B430" s="45">
        <f t="shared" ref="B430:B437" si="6">B429+1</f>
        <v>428</v>
      </c>
      <c r="C430" s="27" t="s">
        <v>749</v>
      </c>
      <c r="D430" s="27" t="s">
        <v>749</v>
      </c>
    </row>
    <row r="431" spans="2:4">
      <c r="B431" s="45">
        <f t="shared" si="6"/>
        <v>429</v>
      </c>
    </row>
    <row r="432" spans="2:4">
      <c r="B432" s="45">
        <f t="shared" si="6"/>
        <v>430</v>
      </c>
    </row>
    <row r="433" spans="2:2">
      <c r="B433" s="45">
        <f t="shared" si="6"/>
        <v>431</v>
      </c>
    </row>
    <row r="434" spans="2:2">
      <c r="B434" s="45">
        <f t="shared" si="6"/>
        <v>432</v>
      </c>
    </row>
    <row r="435" spans="2:2">
      <c r="B435" s="45">
        <f t="shared" si="6"/>
        <v>433</v>
      </c>
    </row>
    <row r="436" spans="2:2">
      <c r="B436" s="45">
        <f t="shared" si="6"/>
        <v>434</v>
      </c>
    </row>
    <row r="437" spans="2:2">
      <c r="B437" s="45">
        <f t="shared" si="6"/>
        <v>435</v>
      </c>
    </row>
  </sheetData>
  <pageMargins left="0.75" right="0.75" top="1" bottom="1" header="0" footer="0"/>
  <pageSetup paperSize="9" orientation="portrait" r:id="rId1"/>
  <headerFooter alignWithMargins="0"/>
  <colBreaks count="4" manualBreakCount="4">
    <brk id="3" max="344" man="1"/>
    <brk id="4" max="1048575" man="1"/>
    <brk id="9" max="1048575" man="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zoomScale="85" zoomScaleNormal="85" workbookViewId="0"/>
  </sheetViews>
  <sheetFormatPr baseColWidth="10" defaultColWidth="12.5703125" defaultRowHeight="12.75"/>
  <cols>
    <col min="1" max="1" width="89" style="272" customWidth="1"/>
    <col min="2" max="7" width="12.7109375" style="282" customWidth="1"/>
    <col min="8" max="8" width="12.7109375" style="272" customWidth="1"/>
    <col min="9" max="255" width="12.5703125" style="272"/>
    <col min="256" max="256" width="89" style="272" customWidth="1"/>
    <col min="257" max="264" width="12.7109375" style="272" customWidth="1"/>
    <col min="265" max="511" width="12.5703125" style="272"/>
    <col min="512" max="512" width="89" style="272" customWidth="1"/>
    <col min="513" max="520" width="12.7109375" style="272" customWidth="1"/>
    <col min="521" max="767" width="12.5703125" style="272"/>
    <col min="768" max="768" width="89" style="272" customWidth="1"/>
    <col min="769" max="776" width="12.7109375" style="272" customWidth="1"/>
    <col min="777" max="1023" width="12.5703125" style="272"/>
    <col min="1024" max="1024" width="89" style="272" customWidth="1"/>
    <col min="1025" max="1032" width="12.7109375" style="272" customWidth="1"/>
    <col min="1033" max="1279" width="12.5703125" style="272"/>
    <col min="1280" max="1280" width="89" style="272" customWidth="1"/>
    <col min="1281" max="1288" width="12.7109375" style="272" customWidth="1"/>
    <col min="1289" max="1535" width="12.5703125" style="272"/>
    <col min="1536" max="1536" width="89" style="272" customWidth="1"/>
    <col min="1537" max="1544" width="12.7109375" style="272" customWidth="1"/>
    <col min="1545" max="1791" width="12.5703125" style="272"/>
    <col min="1792" max="1792" width="89" style="272" customWidth="1"/>
    <col min="1793" max="1800" width="12.7109375" style="272" customWidth="1"/>
    <col min="1801" max="2047" width="12.5703125" style="272"/>
    <col min="2048" max="2048" width="89" style="272" customWidth="1"/>
    <col min="2049" max="2056" width="12.7109375" style="272" customWidth="1"/>
    <col min="2057" max="2303" width="12.5703125" style="272"/>
    <col min="2304" max="2304" width="89" style="272" customWidth="1"/>
    <col min="2305" max="2312" width="12.7109375" style="272" customWidth="1"/>
    <col min="2313" max="2559" width="12.5703125" style="272"/>
    <col min="2560" max="2560" width="89" style="272" customWidth="1"/>
    <col min="2561" max="2568" width="12.7109375" style="272" customWidth="1"/>
    <col min="2569" max="2815" width="12.5703125" style="272"/>
    <col min="2816" max="2816" width="89" style="272" customWidth="1"/>
    <col min="2817" max="2824" width="12.7109375" style="272" customWidth="1"/>
    <col min="2825" max="3071" width="12.5703125" style="272"/>
    <col min="3072" max="3072" width="89" style="272" customWidth="1"/>
    <col min="3073" max="3080" width="12.7109375" style="272" customWidth="1"/>
    <col min="3081" max="3327" width="12.5703125" style="272"/>
    <col min="3328" max="3328" width="89" style="272" customWidth="1"/>
    <col min="3329" max="3336" width="12.7109375" style="272" customWidth="1"/>
    <col min="3337" max="3583" width="12.5703125" style="272"/>
    <col min="3584" max="3584" width="89" style="272" customWidth="1"/>
    <col min="3585" max="3592" width="12.7109375" style="272" customWidth="1"/>
    <col min="3593" max="3839" width="12.5703125" style="272"/>
    <col min="3840" max="3840" width="89" style="272" customWidth="1"/>
    <col min="3841" max="3848" width="12.7109375" style="272" customWidth="1"/>
    <col min="3849" max="4095" width="12.5703125" style="272"/>
    <col min="4096" max="4096" width="89" style="272" customWidth="1"/>
    <col min="4097" max="4104" width="12.7109375" style="272" customWidth="1"/>
    <col min="4105" max="4351" width="12.5703125" style="272"/>
    <col min="4352" max="4352" width="89" style="272" customWidth="1"/>
    <col min="4353" max="4360" width="12.7109375" style="272" customWidth="1"/>
    <col min="4361" max="4607" width="12.5703125" style="272"/>
    <col min="4608" max="4608" width="89" style="272" customWidth="1"/>
    <col min="4609" max="4616" width="12.7109375" style="272" customWidth="1"/>
    <col min="4617" max="4863" width="12.5703125" style="272"/>
    <col min="4864" max="4864" width="89" style="272" customWidth="1"/>
    <col min="4865" max="4872" width="12.7109375" style="272" customWidth="1"/>
    <col min="4873" max="5119" width="12.5703125" style="272"/>
    <col min="5120" max="5120" width="89" style="272" customWidth="1"/>
    <col min="5121" max="5128" width="12.7109375" style="272" customWidth="1"/>
    <col min="5129" max="5375" width="12.5703125" style="272"/>
    <col min="5376" max="5376" width="89" style="272" customWidth="1"/>
    <col min="5377" max="5384" width="12.7109375" style="272" customWidth="1"/>
    <col min="5385" max="5631" width="12.5703125" style="272"/>
    <col min="5632" max="5632" width="89" style="272" customWidth="1"/>
    <col min="5633" max="5640" width="12.7109375" style="272" customWidth="1"/>
    <col min="5641" max="5887" width="12.5703125" style="272"/>
    <col min="5888" max="5888" width="89" style="272" customWidth="1"/>
    <col min="5889" max="5896" width="12.7109375" style="272" customWidth="1"/>
    <col min="5897" max="6143" width="12.5703125" style="272"/>
    <col min="6144" max="6144" width="89" style="272" customWidth="1"/>
    <col min="6145" max="6152" width="12.7109375" style="272" customWidth="1"/>
    <col min="6153" max="6399" width="12.5703125" style="272"/>
    <col min="6400" max="6400" width="89" style="272" customWidth="1"/>
    <col min="6401" max="6408" width="12.7109375" style="272" customWidth="1"/>
    <col min="6409" max="6655" width="12.5703125" style="272"/>
    <col min="6656" max="6656" width="89" style="272" customWidth="1"/>
    <col min="6657" max="6664" width="12.7109375" style="272" customWidth="1"/>
    <col min="6665" max="6911" width="12.5703125" style="272"/>
    <col min="6912" max="6912" width="89" style="272" customWidth="1"/>
    <col min="6913" max="6920" width="12.7109375" style="272" customWidth="1"/>
    <col min="6921" max="7167" width="12.5703125" style="272"/>
    <col min="7168" max="7168" width="89" style="272" customWidth="1"/>
    <col min="7169" max="7176" width="12.7109375" style="272" customWidth="1"/>
    <col min="7177" max="7423" width="12.5703125" style="272"/>
    <col min="7424" max="7424" width="89" style="272" customWidth="1"/>
    <col min="7425" max="7432" width="12.7109375" style="272" customWidth="1"/>
    <col min="7433" max="7679" width="12.5703125" style="272"/>
    <col min="7680" max="7680" width="89" style="272" customWidth="1"/>
    <col min="7681" max="7688" width="12.7109375" style="272" customWidth="1"/>
    <col min="7689" max="7935" width="12.5703125" style="272"/>
    <col min="7936" max="7936" width="89" style="272" customWidth="1"/>
    <col min="7937" max="7944" width="12.7109375" style="272" customWidth="1"/>
    <col min="7945" max="8191" width="12.5703125" style="272"/>
    <col min="8192" max="8192" width="89" style="272" customWidth="1"/>
    <col min="8193" max="8200" width="12.7109375" style="272" customWidth="1"/>
    <col min="8201" max="8447" width="12.5703125" style="272"/>
    <col min="8448" max="8448" width="89" style="272" customWidth="1"/>
    <col min="8449" max="8456" width="12.7109375" style="272" customWidth="1"/>
    <col min="8457" max="8703" width="12.5703125" style="272"/>
    <col min="8704" max="8704" width="89" style="272" customWidth="1"/>
    <col min="8705" max="8712" width="12.7109375" style="272" customWidth="1"/>
    <col min="8713" max="8959" width="12.5703125" style="272"/>
    <col min="8960" max="8960" width="89" style="272" customWidth="1"/>
    <col min="8961" max="8968" width="12.7109375" style="272" customWidth="1"/>
    <col min="8969" max="9215" width="12.5703125" style="272"/>
    <col min="9216" max="9216" width="89" style="272" customWidth="1"/>
    <col min="9217" max="9224" width="12.7109375" style="272" customWidth="1"/>
    <col min="9225" max="9471" width="12.5703125" style="272"/>
    <col min="9472" max="9472" width="89" style="272" customWidth="1"/>
    <col min="9473" max="9480" width="12.7109375" style="272" customWidth="1"/>
    <col min="9481" max="9727" width="12.5703125" style="272"/>
    <col min="9728" max="9728" width="89" style="272" customWidth="1"/>
    <col min="9729" max="9736" width="12.7109375" style="272" customWidth="1"/>
    <col min="9737" max="9983" width="12.5703125" style="272"/>
    <col min="9984" max="9984" width="89" style="272" customWidth="1"/>
    <col min="9985" max="9992" width="12.7109375" style="272" customWidth="1"/>
    <col min="9993" max="10239" width="12.5703125" style="272"/>
    <col min="10240" max="10240" width="89" style="272" customWidth="1"/>
    <col min="10241" max="10248" width="12.7109375" style="272" customWidth="1"/>
    <col min="10249" max="10495" width="12.5703125" style="272"/>
    <col min="10496" max="10496" width="89" style="272" customWidth="1"/>
    <col min="10497" max="10504" width="12.7109375" style="272" customWidth="1"/>
    <col min="10505" max="10751" width="12.5703125" style="272"/>
    <col min="10752" max="10752" width="89" style="272" customWidth="1"/>
    <col min="10753" max="10760" width="12.7109375" style="272" customWidth="1"/>
    <col min="10761" max="11007" width="12.5703125" style="272"/>
    <col min="11008" max="11008" width="89" style="272" customWidth="1"/>
    <col min="11009" max="11016" width="12.7109375" style="272" customWidth="1"/>
    <col min="11017" max="11263" width="12.5703125" style="272"/>
    <col min="11264" max="11264" width="89" style="272" customWidth="1"/>
    <col min="11265" max="11272" width="12.7109375" style="272" customWidth="1"/>
    <col min="11273" max="11519" width="12.5703125" style="272"/>
    <col min="11520" max="11520" width="89" style="272" customWidth="1"/>
    <col min="11521" max="11528" width="12.7109375" style="272" customWidth="1"/>
    <col min="11529" max="11775" width="12.5703125" style="272"/>
    <col min="11776" max="11776" width="89" style="272" customWidth="1"/>
    <col min="11777" max="11784" width="12.7109375" style="272" customWidth="1"/>
    <col min="11785" max="12031" width="12.5703125" style="272"/>
    <col min="12032" max="12032" width="89" style="272" customWidth="1"/>
    <col min="12033" max="12040" width="12.7109375" style="272" customWidth="1"/>
    <col min="12041" max="12287" width="12.5703125" style="272"/>
    <col min="12288" max="12288" width="89" style="272" customWidth="1"/>
    <col min="12289" max="12296" width="12.7109375" style="272" customWidth="1"/>
    <col min="12297" max="12543" width="12.5703125" style="272"/>
    <col min="12544" max="12544" width="89" style="272" customWidth="1"/>
    <col min="12545" max="12552" width="12.7109375" style="272" customWidth="1"/>
    <col min="12553" max="12799" width="12.5703125" style="272"/>
    <col min="12800" max="12800" width="89" style="272" customWidth="1"/>
    <col min="12801" max="12808" width="12.7109375" style="272" customWidth="1"/>
    <col min="12809" max="13055" width="12.5703125" style="272"/>
    <col min="13056" max="13056" width="89" style="272" customWidth="1"/>
    <col min="13057" max="13064" width="12.7109375" style="272" customWidth="1"/>
    <col min="13065" max="13311" width="12.5703125" style="272"/>
    <col min="13312" max="13312" width="89" style="272" customWidth="1"/>
    <col min="13313" max="13320" width="12.7109375" style="272" customWidth="1"/>
    <col min="13321" max="13567" width="12.5703125" style="272"/>
    <col min="13568" max="13568" width="89" style="272" customWidth="1"/>
    <col min="13569" max="13576" width="12.7109375" style="272" customWidth="1"/>
    <col min="13577" max="13823" width="12.5703125" style="272"/>
    <col min="13824" max="13824" width="89" style="272" customWidth="1"/>
    <col min="13825" max="13832" width="12.7109375" style="272" customWidth="1"/>
    <col min="13833" max="14079" width="12.5703125" style="272"/>
    <col min="14080" max="14080" width="89" style="272" customWidth="1"/>
    <col min="14081" max="14088" width="12.7109375" style="272" customWidth="1"/>
    <col min="14089" max="14335" width="12.5703125" style="272"/>
    <col min="14336" max="14336" width="89" style="272" customWidth="1"/>
    <col min="14337" max="14344" width="12.7109375" style="272" customWidth="1"/>
    <col min="14345" max="14591" width="12.5703125" style="272"/>
    <col min="14592" max="14592" width="89" style="272" customWidth="1"/>
    <col min="14593" max="14600" width="12.7109375" style="272" customWidth="1"/>
    <col min="14601" max="14847" width="12.5703125" style="272"/>
    <col min="14848" max="14848" width="89" style="272" customWidth="1"/>
    <col min="14849" max="14856" width="12.7109375" style="272" customWidth="1"/>
    <col min="14857" max="15103" width="12.5703125" style="272"/>
    <col min="15104" max="15104" width="89" style="272" customWidth="1"/>
    <col min="15105" max="15112" width="12.7109375" style="272" customWidth="1"/>
    <col min="15113" max="15359" width="12.5703125" style="272"/>
    <col min="15360" max="15360" width="89" style="272" customWidth="1"/>
    <col min="15361" max="15368" width="12.7109375" style="272" customWidth="1"/>
    <col min="15369" max="15615" width="12.5703125" style="272"/>
    <col min="15616" max="15616" width="89" style="272" customWidth="1"/>
    <col min="15617" max="15624" width="12.7109375" style="272" customWidth="1"/>
    <col min="15625" max="15871" width="12.5703125" style="272"/>
    <col min="15872" max="15872" width="89" style="272" customWidth="1"/>
    <col min="15873" max="15880" width="12.7109375" style="272" customWidth="1"/>
    <col min="15881" max="16127" width="12.5703125" style="272"/>
    <col min="16128" max="16128" width="89" style="272" customWidth="1"/>
    <col min="16129" max="16136" width="12.7109375" style="272" customWidth="1"/>
    <col min="16137" max="16384" width="12.5703125" style="272"/>
  </cols>
  <sheetData>
    <row r="1" spans="1:17" s="263" customFormat="1" ht="18">
      <c r="A1" s="65" t="str">
        <f>HLOOKUP(INDICE!$F$2,Nombres!$C$3:$E$853,291)</f>
        <v>BBVA Group. Consolidated balance sheet</v>
      </c>
      <c r="B1" s="261"/>
      <c r="C1" s="262"/>
      <c r="D1" s="261"/>
      <c r="E1" s="262"/>
      <c r="F1" s="262"/>
      <c r="G1" s="262"/>
      <c r="H1" s="262"/>
    </row>
    <row r="2" spans="1:17" s="263" customFormat="1" ht="14.25">
      <c r="A2" s="68" t="str">
        <f>HLOOKUP(INDICE!F2,Nombres!$C$3:$E$853,30)</f>
        <v>(Million euros)</v>
      </c>
      <c r="B2" s="264"/>
      <c r="C2" s="264"/>
      <c r="D2" s="264"/>
      <c r="E2" s="264"/>
      <c r="F2" s="264"/>
      <c r="G2" s="264"/>
      <c r="H2" s="264"/>
    </row>
    <row r="3" spans="1:17" s="263" customFormat="1" ht="19.5">
      <c r="A3" s="198"/>
      <c r="B3" s="264"/>
      <c r="C3" s="264"/>
      <c r="D3" s="264"/>
      <c r="E3" s="264"/>
      <c r="F3" s="264"/>
      <c r="G3" s="264"/>
      <c r="H3" s="264"/>
    </row>
    <row r="4" spans="1:17" s="266" customFormat="1" ht="15" customHeight="1">
      <c r="A4" s="265"/>
      <c r="B4" s="59">
        <v>42825</v>
      </c>
      <c r="C4" s="59">
        <v>42916</v>
      </c>
      <c r="D4" s="59">
        <v>43008</v>
      </c>
      <c r="E4" s="59">
        <v>43100</v>
      </c>
      <c r="F4" s="59">
        <v>43190</v>
      </c>
      <c r="G4" s="59">
        <v>43281</v>
      </c>
      <c r="H4" s="59">
        <v>43373</v>
      </c>
    </row>
    <row r="5" spans="1:17" ht="7.5" customHeight="1">
      <c r="A5" s="267"/>
      <c r="B5" s="268"/>
      <c r="C5" s="269"/>
      <c r="D5" s="270"/>
      <c r="E5" s="270"/>
      <c r="F5" s="268"/>
      <c r="G5" s="269"/>
      <c r="H5" s="270"/>
      <c r="I5" s="271"/>
      <c r="J5" s="271"/>
    </row>
    <row r="6" spans="1:17" ht="15" customHeight="1">
      <c r="A6" s="125" t="str">
        <f>HLOOKUP(INDICE!F2,Nombres!$C$3:$E$853,63)</f>
        <v>Cash, cash balances at central banks and other demand deposits</v>
      </c>
      <c r="B6" s="273">
        <v>29213.607</v>
      </c>
      <c r="C6" s="82">
        <v>34719.692000000003</v>
      </c>
      <c r="D6" s="82">
        <v>36022.817000000003</v>
      </c>
      <c r="E6" s="82">
        <v>42679.927000000003</v>
      </c>
      <c r="F6" s="273">
        <v>43166.921000000002</v>
      </c>
      <c r="G6" s="273">
        <v>37278.749000000003</v>
      </c>
      <c r="H6" s="82">
        <v>44800.406000000003</v>
      </c>
      <c r="I6" s="274"/>
      <c r="J6" s="271"/>
      <c r="Q6" s="275"/>
    </row>
    <row r="7" spans="1:17" ht="15" customHeight="1">
      <c r="A7" s="125" t="str">
        <f>HLOOKUP(INDICE!F2,Nombres!$C$3:$E$853,64)</f>
        <v>Financial assets held for trading</v>
      </c>
      <c r="B7" s="273">
        <v>74897.581000000006</v>
      </c>
      <c r="C7" s="82">
        <v>68885.252999999997</v>
      </c>
      <c r="D7" s="82">
        <v>65669.786999999997</v>
      </c>
      <c r="E7" s="82">
        <v>64695.008999999998</v>
      </c>
      <c r="F7" s="273">
        <v>94745.035999999993</v>
      </c>
      <c r="G7" s="273">
        <v>91018.101999999999</v>
      </c>
      <c r="H7" s="82">
        <v>90405.487999999998</v>
      </c>
      <c r="I7" s="274"/>
      <c r="J7" s="271"/>
    </row>
    <row r="8" spans="1:17" ht="15" customHeight="1">
      <c r="A8" s="125" t="str">
        <f>HLOOKUP(INDICE!F2,Nombres!$C$3:$E$853,65)</f>
        <v>Non-trading financial assets mandatorily at fair value through profit or loss</v>
      </c>
      <c r="B8" s="273">
        <v>2273.627</v>
      </c>
      <c r="C8" s="82">
        <v>2229.85</v>
      </c>
      <c r="D8" s="82">
        <v>2848.355</v>
      </c>
      <c r="E8" s="82">
        <v>2709.2950000000001</v>
      </c>
      <c r="F8" s="273">
        <v>4359.7139999999999</v>
      </c>
      <c r="G8" s="273">
        <v>4376.8540000000003</v>
      </c>
      <c r="H8" s="82">
        <v>4691.8379999999997</v>
      </c>
      <c r="I8" s="274"/>
      <c r="J8" s="271"/>
    </row>
    <row r="9" spans="1:17" ht="15" customHeight="1">
      <c r="A9" s="125" t="str">
        <f>HLOOKUP(INDICE!F2,Nombres!$C$3:$E$853,66)</f>
        <v>Financial assets designated at fair value through profit or loss</v>
      </c>
      <c r="B9" s="273">
        <v>78846.342000000004</v>
      </c>
      <c r="C9" s="82">
        <v>74665.524000000005</v>
      </c>
      <c r="D9" s="82">
        <v>74598.942999999999</v>
      </c>
      <c r="E9" s="82">
        <v>69475.532999999996</v>
      </c>
      <c r="F9" s="273">
        <v>1330.2339999999999</v>
      </c>
      <c r="G9" s="273">
        <v>1486.789</v>
      </c>
      <c r="H9" s="82">
        <v>1301.567</v>
      </c>
      <c r="I9" s="274"/>
      <c r="J9" s="271"/>
    </row>
    <row r="10" spans="1:17" ht="15" customHeight="1">
      <c r="A10" s="125" t="str">
        <f>HLOOKUP(INDICE!$F$2,Nombres!$C$3:$E$853,423)</f>
        <v>Financial assets at fair value through accumulated other comprehensive income</v>
      </c>
      <c r="B10" s="276"/>
      <c r="C10" s="277"/>
      <c r="D10" s="277"/>
      <c r="E10" s="277"/>
      <c r="F10" s="273">
        <v>59211.983</v>
      </c>
      <c r="G10" s="273">
        <v>63212</v>
      </c>
      <c r="H10" s="82">
        <v>61602.324999999997</v>
      </c>
      <c r="I10" s="274"/>
      <c r="J10" s="271"/>
    </row>
    <row r="11" spans="1:17" ht="15" customHeight="1">
      <c r="A11" s="125" t="str">
        <f>HLOOKUP(INDICE!$F$2,Nombres!$C$3:$E$853,406)</f>
        <v>Financial assets at amortized cost</v>
      </c>
      <c r="B11" s="273">
        <v>465303.77799999999</v>
      </c>
      <c r="C11" s="82">
        <v>458493.77899999998</v>
      </c>
      <c r="D11" s="82">
        <v>449564.103</v>
      </c>
      <c r="E11" s="82">
        <v>431521.32900000003</v>
      </c>
      <c r="F11" s="273">
        <v>417646.24</v>
      </c>
      <c r="G11" s="273">
        <v>426349.11000000004</v>
      </c>
      <c r="H11" s="82">
        <v>417893.41299999994</v>
      </c>
      <c r="I11" s="274"/>
      <c r="J11" s="271"/>
    </row>
    <row r="12" spans="1:17" ht="15" customHeight="1">
      <c r="A12" s="125" t="str">
        <f>HLOOKUP(INDICE!F2,Nombres!$C$3:$E$853,68)</f>
        <v xml:space="preserve">. Loans and advances to central banks and credit institutions </v>
      </c>
      <c r="B12" s="273">
        <v>37653.544000000002</v>
      </c>
      <c r="C12" s="82">
        <v>38078.771000000001</v>
      </c>
      <c r="D12" s="82">
        <v>36555.699999999997</v>
      </c>
      <c r="E12" s="82">
        <v>33561.33</v>
      </c>
      <c r="F12" s="273">
        <v>17751.154999999999</v>
      </c>
      <c r="G12" s="273">
        <v>17091.901000000002</v>
      </c>
      <c r="H12" s="82">
        <v>15354.773999999999</v>
      </c>
      <c r="I12" s="274"/>
      <c r="J12" s="271"/>
    </row>
    <row r="13" spans="1:17" ht="15" customHeight="1">
      <c r="A13" s="125" t="str">
        <f>HLOOKUP(INDICE!F2,Nombres!$C$3:$E$853,69)</f>
        <v>. Loans and advances to customers</v>
      </c>
      <c r="B13" s="273">
        <v>416087.82</v>
      </c>
      <c r="C13" s="82">
        <v>409086.81</v>
      </c>
      <c r="D13" s="82">
        <v>401733.74</v>
      </c>
      <c r="E13" s="82">
        <v>387620.55099999998</v>
      </c>
      <c r="F13" s="273">
        <v>367986.01699999999</v>
      </c>
      <c r="G13" s="273">
        <v>377174.96500000003</v>
      </c>
      <c r="H13" s="82">
        <v>370496.321</v>
      </c>
      <c r="I13" s="274"/>
      <c r="J13" s="271"/>
    </row>
    <row r="14" spans="1:17" ht="15" customHeight="1">
      <c r="A14" s="125" t="str">
        <f>HLOOKUP(INDICE!F2,Nombres!$C$3:$E$853,300)</f>
        <v>. Debt securities</v>
      </c>
      <c r="B14" s="273">
        <v>11562.414000000001</v>
      </c>
      <c r="C14" s="82">
        <v>11328.198</v>
      </c>
      <c r="D14" s="82">
        <v>11274.663</v>
      </c>
      <c r="E14" s="82">
        <v>10339.448</v>
      </c>
      <c r="F14" s="273">
        <v>31909.067999999999</v>
      </c>
      <c r="G14" s="273">
        <v>32082.243999999999</v>
      </c>
      <c r="H14" s="82">
        <v>32042.317999999999</v>
      </c>
      <c r="I14" s="274"/>
      <c r="J14" s="271"/>
    </row>
    <row r="15" spans="1:17" ht="15" customHeight="1">
      <c r="A15" s="125" t="str">
        <f>HLOOKUP(INDICE!F2,Nombres!$C$3:$E$853,71)</f>
        <v>Held-to-maturity investments</v>
      </c>
      <c r="B15" s="278">
        <v>16712.059000000001</v>
      </c>
      <c r="C15" s="82">
        <v>14530.83</v>
      </c>
      <c r="D15" s="82">
        <v>14010.352999999999</v>
      </c>
      <c r="E15" s="82">
        <v>13754.433999999999</v>
      </c>
      <c r="F15" s="279"/>
      <c r="G15" s="279"/>
      <c r="H15" s="277"/>
      <c r="I15" s="274"/>
      <c r="J15" s="271"/>
    </row>
    <row r="16" spans="1:17" ht="15" customHeight="1">
      <c r="A16" s="125" t="str">
        <f>HLOOKUP(INDICE!F2,Nombres!$C$3:$E$853,72)</f>
        <v>Investments in subsidiaries, joint ventures and associates</v>
      </c>
      <c r="B16" s="273">
        <v>1152.0309999999999</v>
      </c>
      <c r="C16" s="82">
        <v>1142.3689999999999</v>
      </c>
      <c r="D16" s="82">
        <v>1583.5039999999999</v>
      </c>
      <c r="E16" s="82">
        <v>1587.8019999999999</v>
      </c>
      <c r="F16" s="273">
        <v>1395.316</v>
      </c>
      <c r="G16" s="273">
        <v>1470.2439999999999</v>
      </c>
      <c r="H16" s="82">
        <v>972.02599999999995</v>
      </c>
      <c r="I16" s="274"/>
      <c r="J16" s="271"/>
    </row>
    <row r="17" spans="1:10" ht="15" customHeight="1">
      <c r="A17" s="125" t="str">
        <f>HLOOKUP(INDICE!F2,Nombres!$C$3:$E$853,73)</f>
        <v>Tangible assets</v>
      </c>
      <c r="B17" s="273">
        <v>8940.23</v>
      </c>
      <c r="C17" s="82">
        <v>8211.3430000000008</v>
      </c>
      <c r="D17" s="82">
        <v>7963.3940000000002</v>
      </c>
      <c r="E17" s="82">
        <v>7190.7879999999996</v>
      </c>
      <c r="F17" s="273">
        <v>6947.7619999999997</v>
      </c>
      <c r="G17" s="273">
        <v>6736.2560000000003</v>
      </c>
      <c r="H17" s="82">
        <v>6688.3509999999997</v>
      </c>
      <c r="I17" s="274"/>
      <c r="J17" s="271"/>
    </row>
    <row r="18" spans="1:10" ht="15" customHeight="1">
      <c r="A18" s="125" t="str">
        <f>HLOOKUP(INDICE!F2,Nombres!$C$3:$E$853,74)</f>
        <v>Intangible assets</v>
      </c>
      <c r="B18" s="273">
        <v>9561.0619999999999</v>
      </c>
      <c r="C18" s="82">
        <v>9046.6360000000004</v>
      </c>
      <c r="D18" s="82">
        <v>8742.8310000000001</v>
      </c>
      <c r="E18" s="82">
        <v>8464.0030000000006</v>
      </c>
      <c r="F18" s="273">
        <v>8198.51</v>
      </c>
      <c r="G18" s="273">
        <v>8372.8770000000004</v>
      </c>
      <c r="H18" s="82">
        <v>8212.7559999999994</v>
      </c>
      <c r="I18" s="274"/>
      <c r="J18" s="271"/>
    </row>
    <row r="19" spans="1:10" ht="15" customHeight="1">
      <c r="A19" s="125" t="str">
        <f>HLOOKUP(INDICE!F2,Nombres!$C$3:$E$853,75)</f>
        <v>Other assets</v>
      </c>
      <c r="B19" s="273">
        <v>32292.606999999996</v>
      </c>
      <c r="C19" s="82">
        <v>30504.121999999999</v>
      </c>
      <c r="D19" s="82">
        <v>29792.94</v>
      </c>
      <c r="E19" s="82">
        <v>47980.642999999996</v>
      </c>
      <c r="F19" s="273">
        <v>48439.014999999999</v>
      </c>
      <c r="G19" s="273">
        <v>49330.527999999998</v>
      </c>
      <c r="H19" s="82">
        <v>32416.677000000003</v>
      </c>
      <c r="I19" s="274"/>
      <c r="J19" s="271"/>
    </row>
    <row r="20" spans="1:10" s="282" customFormat="1" ht="15" customHeight="1">
      <c r="A20" s="206" t="str">
        <f>HLOOKUP(INDICE!F2,Nombres!$C$3:$E$853,76)</f>
        <v>Total assets</v>
      </c>
      <c r="B20" s="280">
        <v>719192.924</v>
      </c>
      <c r="C20" s="281">
        <v>702429.39800000004</v>
      </c>
      <c r="D20" s="281">
        <v>690797.027</v>
      </c>
      <c r="E20" s="281">
        <v>690058.76300000004</v>
      </c>
      <c r="F20" s="280">
        <v>685440.73100000003</v>
      </c>
      <c r="G20" s="280">
        <v>689631.50899999996</v>
      </c>
      <c r="H20" s="281">
        <v>668984.84699999995</v>
      </c>
      <c r="I20" s="274"/>
      <c r="J20" s="271"/>
    </row>
    <row r="21" spans="1:10" ht="9.75" customHeight="1">
      <c r="A21" s="283"/>
      <c r="B21" s="284"/>
      <c r="C21" s="285"/>
      <c r="D21" s="285"/>
      <c r="E21" s="285"/>
      <c r="F21" s="284"/>
      <c r="G21" s="284"/>
      <c r="H21" s="285"/>
      <c r="I21" s="274"/>
      <c r="J21" s="271"/>
    </row>
    <row r="22" spans="1:10" ht="15" customHeight="1">
      <c r="A22" s="125" t="str">
        <f>HLOOKUP(INDICE!F2,Nombres!$C$3:$E$853,77)</f>
        <v>Financial liabilities held for trading</v>
      </c>
      <c r="B22" s="273">
        <v>51179.152999999998</v>
      </c>
      <c r="C22" s="286">
        <v>49532.046999999999</v>
      </c>
      <c r="D22" s="82">
        <v>45351.508999999998</v>
      </c>
      <c r="E22" s="82">
        <v>46181.951000000001</v>
      </c>
      <c r="F22" s="273">
        <v>86766.928</v>
      </c>
      <c r="G22" s="273">
        <v>83666.751000000004</v>
      </c>
      <c r="H22" s="82">
        <v>81810.171000000002</v>
      </c>
      <c r="I22" s="274"/>
      <c r="J22" s="271"/>
    </row>
    <row r="23" spans="1:10" ht="15" customHeight="1">
      <c r="A23" s="125" t="str">
        <f>HLOOKUP(INDICE!F2,Nombres!$C$3:$E$853,78)</f>
        <v>Other financial liabilities designated at fair value through profit or loss</v>
      </c>
      <c r="B23" s="273">
        <v>2521.8910000000001</v>
      </c>
      <c r="C23" s="82">
        <v>2436.799</v>
      </c>
      <c r="D23" s="82">
        <v>2372.2559999999999</v>
      </c>
      <c r="E23" s="82">
        <v>2222.2730000000001</v>
      </c>
      <c r="F23" s="273">
        <v>6075.2960000000003</v>
      </c>
      <c r="G23" s="273">
        <v>6221.0349999999999</v>
      </c>
      <c r="H23" s="82">
        <v>6781.692</v>
      </c>
      <c r="I23" s="274"/>
      <c r="J23" s="271"/>
    </row>
    <row r="24" spans="1:10" ht="15" customHeight="1">
      <c r="A24" s="125" t="str">
        <f>HLOOKUP(INDICE!F2,Nombres!$C$3:$E$853,79)</f>
        <v>Financial liabilities at amortized cost</v>
      </c>
      <c r="B24" s="273">
        <v>580031.11499999999</v>
      </c>
      <c r="C24" s="82">
        <v>566020.772</v>
      </c>
      <c r="D24" s="82">
        <v>559288.90800000005</v>
      </c>
      <c r="E24" s="82">
        <v>543713.18999999994</v>
      </c>
      <c r="F24" s="273">
        <v>497297.913</v>
      </c>
      <c r="G24" s="273">
        <v>503072.66600000003</v>
      </c>
      <c r="H24" s="82">
        <v>501439</v>
      </c>
      <c r="I24" s="274"/>
      <c r="J24" s="271"/>
    </row>
    <row r="25" spans="1:10" ht="15" customHeight="1">
      <c r="A25" s="125" t="str">
        <f>HLOOKUP(INDICE!F2,Nombres!$C$3:$E$853,80)</f>
        <v>. Deposits from central banks and credit institutions</v>
      </c>
      <c r="B25" s="273">
        <v>94376.415999999997</v>
      </c>
      <c r="C25" s="82">
        <v>89001.822</v>
      </c>
      <c r="D25" s="82">
        <v>84927.435999999987</v>
      </c>
      <c r="E25" s="82">
        <v>91570.122000000003</v>
      </c>
      <c r="F25" s="273">
        <v>63031.063000000002</v>
      </c>
      <c r="G25" s="273">
        <v>62041.065999999999</v>
      </c>
      <c r="H25" s="82">
        <v>62339.413</v>
      </c>
      <c r="I25" s="274"/>
      <c r="J25" s="271"/>
    </row>
    <row r="26" spans="1:10" ht="15" customHeight="1">
      <c r="A26" s="125" t="str">
        <f>HLOOKUP(INDICE!F2,Nombres!$C$3:$E$853,81)</f>
        <v>. Deposits from customers</v>
      </c>
      <c r="B26" s="273">
        <v>398499.00699999998</v>
      </c>
      <c r="C26" s="82">
        <v>394625.75799999997</v>
      </c>
      <c r="D26" s="82">
        <v>392864.58399999997</v>
      </c>
      <c r="E26" s="82">
        <v>376378.70600000001</v>
      </c>
      <c r="F26" s="273">
        <v>360213.016</v>
      </c>
      <c r="G26" s="273">
        <v>367312.18199999997</v>
      </c>
      <c r="H26" s="82">
        <v>365687.37099999998</v>
      </c>
      <c r="I26" s="274"/>
      <c r="J26" s="271"/>
    </row>
    <row r="27" spans="1:10" ht="15" customHeight="1">
      <c r="A27" s="125" t="str">
        <f>HLOOKUP(INDICE!F2,Nombres!$C$3:$E$853,208)</f>
        <v xml:space="preserve"> .Debt certificates</v>
      </c>
      <c r="B27" s="273">
        <v>72840.430999999997</v>
      </c>
      <c r="C27" s="82">
        <v>69513.038</v>
      </c>
      <c r="D27" s="69">
        <v>69284.87</v>
      </c>
      <c r="E27" s="69">
        <v>63914.63</v>
      </c>
      <c r="F27" s="273">
        <v>60866.197</v>
      </c>
      <c r="G27" s="273">
        <v>62349.39</v>
      </c>
      <c r="H27" s="69">
        <v>62021.881999999998</v>
      </c>
      <c r="I27" s="274"/>
      <c r="J27" s="271"/>
    </row>
    <row r="28" spans="1:10" ht="15" customHeight="1">
      <c r="A28" s="125" t="str">
        <f>HLOOKUP(INDICE!F2,Nombres!$C$3:$E$853,84)</f>
        <v>. Other financial liabilities</v>
      </c>
      <c r="B28" s="273">
        <v>14315.261</v>
      </c>
      <c r="C28" s="82">
        <v>12880.154</v>
      </c>
      <c r="D28" s="69">
        <v>12212.018</v>
      </c>
      <c r="E28" s="69">
        <v>11849.732</v>
      </c>
      <c r="F28" s="273">
        <v>13187.637000000001</v>
      </c>
      <c r="G28" s="273">
        <v>11370.028</v>
      </c>
      <c r="H28" s="69">
        <v>11390.334000000001</v>
      </c>
      <c r="I28" s="274"/>
      <c r="J28" s="271"/>
    </row>
    <row r="29" spans="1:10" ht="15" customHeight="1">
      <c r="A29" s="125" t="str">
        <f>HLOOKUP(INDICE!F2,Nombres!$C$3:$E$853,85)</f>
        <v>Liabilities under insurance and reinsurance contracts</v>
      </c>
      <c r="B29" s="273">
        <v>9656.8060000000005</v>
      </c>
      <c r="C29" s="82">
        <v>9845.848</v>
      </c>
      <c r="D29" s="82">
        <v>9664.6239999999998</v>
      </c>
      <c r="E29" s="82">
        <v>9223.1209999999992</v>
      </c>
      <c r="F29" s="273">
        <v>9624.2060000000001</v>
      </c>
      <c r="G29" s="273">
        <v>9500.3089999999993</v>
      </c>
      <c r="H29" s="82">
        <v>9994.4639999999999</v>
      </c>
      <c r="I29" s="274"/>
      <c r="J29" s="271"/>
    </row>
    <row r="30" spans="1:10" ht="15" customHeight="1">
      <c r="A30" s="125" t="str">
        <f>HLOOKUP(INDICE!F2,Nombres!$C$3:$E$853,86)</f>
        <v>Other liabilities</v>
      </c>
      <c r="B30" s="273">
        <v>20885.565999999999</v>
      </c>
      <c r="C30" s="82">
        <v>19866.454999999998</v>
      </c>
      <c r="D30" s="82">
        <v>19719.516</v>
      </c>
      <c r="E30" s="82">
        <v>35395.036</v>
      </c>
      <c r="F30" s="273">
        <v>33853.667999999998</v>
      </c>
      <c r="G30" s="273">
        <v>35083.502</v>
      </c>
      <c r="H30" s="82">
        <v>17862.373</v>
      </c>
      <c r="I30" s="274"/>
      <c r="J30" s="271"/>
    </row>
    <row r="31" spans="1:10" s="282" customFormat="1" ht="15" customHeight="1">
      <c r="A31" s="139" t="str">
        <f>HLOOKUP(INDICE!F2,Nombres!$C$3:$E$853,87)</f>
        <v>Total liabilities</v>
      </c>
      <c r="B31" s="287">
        <v>664274.53099999996</v>
      </c>
      <c r="C31" s="288">
        <v>647701.92099999997</v>
      </c>
      <c r="D31" s="254">
        <v>636396.81299999997</v>
      </c>
      <c r="E31" s="254">
        <v>636735.571</v>
      </c>
      <c r="F31" s="287">
        <v>633618.01100000006</v>
      </c>
      <c r="G31" s="287">
        <v>637544.26300000004</v>
      </c>
      <c r="H31" s="254">
        <v>617887.69999999995</v>
      </c>
      <c r="I31" s="274"/>
      <c r="J31" s="271"/>
    </row>
    <row r="32" spans="1:10" ht="9.75" customHeight="1">
      <c r="A32" s="289"/>
      <c r="B32" s="284"/>
      <c r="C32" s="290"/>
      <c r="D32" s="285"/>
      <c r="E32" s="285"/>
      <c r="F32" s="284"/>
      <c r="G32" s="284"/>
      <c r="H32" s="285"/>
      <c r="I32" s="274"/>
      <c r="J32" s="271"/>
    </row>
    <row r="33" spans="1:10" ht="15" customHeight="1">
      <c r="A33" s="125" t="str">
        <f>HLOOKUP(INDICE!F2,Nombres!$C$3:$E$853,88)</f>
        <v>Non-controlling interests</v>
      </c>
      <c r="B33" s="273">
        <v>6873.8320000000003</v>
      </c>
      <c r="C33" s="286">
        <v>6895.4520000000002</v>
      </c>
      <c r="D33" s="82">
        <v>7069.4110000000001</v>
      </c>
      <c r="E33" s="82">
        <v>6979.415</v>
      </c>
      <c r="F33" s="273">
        <v>6591.723</v>
      </c>
      <c r="G33" s="273">
        <v>6336.2039999999997</v>
      </c>
      <c r="H33" s="82">
        <v>5100.4279999999999</v>
      </c>
      <c r="I33" s="274"/>
      <c r="J33" s="271"/>
    </row>
    <row r="34" spans="1:10" s="291" customFormat="1" ht="15" customHeight="1">
      <c r="A34" s="125" t="str">
        <f>HLOOKUP(INDICE!F2,Nombres!$C$3:$E$853,89)</f>
        <v>Accumulated other comprehensive income</v>
      </c>
      <c r="B34" s="273">
        <v>-5143.5050000000001</v>
      </c>
      <c r="C34" s="286">
        <v>-6991.2759999999998</v>
      </c>
      <c r="D34" s="82">
        <v>-7956.2889999999998</v>
      </c>
      <c r="E34" s="82">
        <v>-8792.2170000000006</v>
      </c>
      <c r="F34" s="273">
        <v>-9200.9539999999997</v>
      </c>
      <c r="G34" s="273">
        <v>-9868.1910000000007</v>
      </c>
      <c r="H34" s="82">
        <v>-10504.885</v>
      </c>
      <c r="I34" s="274"/>
      <c r="J34" s="271"/>
    </row>
    <row r="35" spans="1:10" ht="15" customHeight="1">
      <c r="A35" s="125" t="str">
        <f>HLOOKUP(INDICE!F2,Nombres!$C$3:$E$853,90)</f>
        <v>Shareholders' funds</v>
      </c>
      <c r="B35" s="273">
        <v>53188.065999999984</v>
      </c>
      <c r="C35" s="286">
        <v>54823.300999999999</v>
      </c>
      <c r="D35" s="82">
        <v>55287.091999999997</v>
      </c>
      <c r="E35" s="82">
        <v>55135.993999999999</v>
      </c>
      <c r="F35" s="273">
        <v>54431.950999999994</v>
      </c>
      <c r="G35" s="273">
        <v>55619.232999999993</v>
      </c>
      <c r="H35" s="82">
        <v>56501.603999999992</v>
      </c>
      <c r="I35" s="274"/>
      <c r="J35" s="271"/>
    </row>
    <row r="36" spans="1:10" s="282" customFormat="1" ht="15" customHeight="1">
      <c r="A36" s="139" t="str">
        <f>HLOOKUP(INDICE!F2,Nombres!$C$3:$E$853,91)</f>
        <v>Total equity</v>
      </c>
      <c r="B36" s="287">
        <v>54918.392999999996</v>
      </c>
      <c r="C36" s="288">
        <v>54727.476999999999</v>
      </c>
      <c r="D36" s="254">
        <v>54400.214</v>
      </c>
      <c r="E36" s="254">
        <v>53323.192000000003</v>
      </c>
      <c r="F36" s="287">
        <v>51822.720000000001</v>
      </c>
      <c r="G36" s="287">
        <v>52087.245999999999</v>
      </c>
      <c r="H36" s="254">
        <v>51097.146999999997</v>
      </c>
      <c r="I36" s="274"/>
      <c r="J36" s="271"/>
    </row>
    <row r="37" spans="1:10" ht="11.25" customHeight="1">
      <c r="A37" s="267"/>
      <c r="B37" s="284"/>
      <c r="C37" s="290"/>
      <c r="D37" s="285"/>
      <c r="E37" s="285"/>
      <c r="F37" s="284"/>
      <c r="G37" s="284"/>
      <c r="H37" s="285"/>
      <c r="I37" s="271"/>
      <c r="J37" s="271"/>
    </row>
    <row r="38" spans="1:10" s="282" customFormat="1" ht="15" customHeight="1">
      <c r="A38" s="206" t="str">
        <f>HLOOKUP(INDICE!F2,Nombres!$C$3:$E$853,92)</f>
        <v>Total equity and liabilities</v>
      </c>
      <c r="B38" s="280">
        <v>719192.924</v>
      </c>
      <c r="C38" s="281">
        <v>702429.39800000004</v>
      </c>
      <c r="D38" s="281">
        <v>690797.027</v>
      </c>
      <c r="E38" s="281">
        <v>690058.76300000004</v>
      </c>
      <c r="F38" s="280">
        <v>685440.73100000003</v>
      </c>
      <c r="G38" s="280">
        <v>689631.50899999996</v>
      </c>
      <c r="H38" s="281">
        <v>668984.84699999995</v>
      </c>
      <c r="I38" s="271"/>
      <c r="J38" s="271"/>
    </row>
    <row r="39" spans="1:10" s="293" customFormat="1" ht="28.5" customHeight="1">
      <c r="A39" s="318"/>
      <c r="B39" s="318"/>
      <c r="C39" s="318"/>
      <c r="D39" s="318"/>
      <c r="E39" s="318"/>
      <c r="F39" s="318"/>
      <c r="G39" s="318"/>
      <c r="H39" s="318"/>
      <c r="I39" s="292"/>
      <c r="J39" s="292"/>
    </row>
    <row r="40" spans="1:10" ht="14.25">
      <c r="A40" s="264"/>
      <c r="B40" s="270"/>
      <c r="C40" s="270"/>
      <c r="D40" s="270"/>
      <c r="E40" s="270"/>
      <c r="F40" s="270"/>
      <c r="G40" s="270"/>
      <c r="H40" s="294"/>
    </row>
    <row r="41" spans="1:10" ht="14.25">
      <c r="A41" s="264"/>
      <c r="B41" s="295"/>
      <c r="C41" s="295"/>
      <c r="D41" s="295"/>
      <c r="E41" s="295"/>
      <c r="F41" s="295"/>
      <c r="G41" s="295"/>
      <c r="H41" s="295"/>
    </row>
    <row r="42" spans="1:10" ht="14.25">
      <c r="A42" s="264"/>
      <c r="B42" s="295"/>
      <c r="C42" s="295"/>
      <c r="D42" s="295"/>
      <c r="E42" s="295"/>
      <c r="F42" s="295"/>
      <c r="G42" s="295"/>
      <c r="H42" s="295"/>
    </row>
    <row r="43" spans="1:10" ht="14.25">
      <c r="A43" s="264"/>
      <c r="B43" s="295"/>
      <c r="C43" s="295"/>
      <c r="D43" s="295"/>
      <c r="E43" s="295"/>
      <c r="F43" s="295"/>
      <c r="G43" s="295"/>
      <c r="H43" s="295"/>
    </row>
    <row r="44" spans="1:10" ht="14.25">
      <c r="A44" s="264"/>
      <c r="B44" s="296"/>
      <c r="C44" s="296"/>
      <c r="D44" s="296"/>
      <c r="E44" s="296"/>
      <c r="F44" s="296"/>
      <c r="G44" s="296"/>
      <c r="H44" s="294"/>
    </row>
    <row r="45" spans="1:10" ht="14.25">
      <c r="A45" s="264"/>
      <c r="B45" s="296"/>
      <c r="C45" s="296"/>
      <c r="D45" s="296"/>
      <c r="E45" s="296"/>
      <c r="F45" s="296"/>
      <c r="G45" s="296"/>
      <c r="H45" s="294"/>
    </row>
    <row r="46" spans="1:10" ht="14.25">
      <c r="A46" s="264"/>
      <c r="B46" s="296"/>
      <c r="C46" s="296"/>
      <c r="D46" s="296"/>
      <c r="E46" s="296"/>
      <c r="F46" s="296"/>
      <c r="G46" s="296"/>
      <c r="H46" s="294"/>
    </row>
    <row r="47" spans="1:10">
      <c r="H47" s="297"/>
    </row>
    <row r="48" spans="1:10">
      <c r="H48" s="297"/>
    </row>
    <row r="49" spans="8:8">
      <c r="H49" s="297"/>
    </row>
    <row r="50" spans="8:8">
      <c r="H50" s="297"/>
    </row>
    <row r="51" spans="8:8">
      <c r="H51" s="297"/>
    </row>
    <row r="52" spans="8:8">
      <c r="H52" s="297"/>
    </row>
    <row r="53" spans="8:8">
      <c r="H53" s="297"/>
    </row>
    <row r="54" spans="8:8">
      <c r="H54" s="297"/>
    </row>
    <row r="55" spans="8:8">
      <c r="H55" s="297"/>
    </row>
    <row r="56" spans="8:8">
      <c r="H56" s="297"/>
    </row>
    <row r="57" spans="8:8">
      <c r="H57" s="297"/>
    </row>
    <row r="58" spans="8:8">
      <c r="H58" s="297"/>
    </row>
    <row r="59" spans="8:8">
      <c r="H59" s="297"/>
    </row>
    <row r="60" spans="8:8">
      <c r="H60" s="297"/>
    </row>
    <row r="61" spans="8:8">
      <c r="H61" s="297"/>
    </row>
    <row r="62" spans="8:8">
      <c r="H62" s="297"/>
    </row>
  </sheetData>
  <mergeCells count="1">
    <mergeCell ref="A39:H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zoomScale="85" zoomScaleNormal="85" workbookViewId="0"/>
  </sheetViews>
  <sheetFormatPr baseColWidth="10" defaultRowHeight="15"/>
  <cols>
    <col min="1" max="1" width="85.5703125" style="217" customWidth="1"/>
    <col min="2" max="2" width="10.7109375" customWidth="1"/>
    <col min="3" max="5" width="10.7109375" style="218" customWidth="1"/>
    <col min="6" max="8" width="10.7109375" customWidth="1"/>
    <col min="9" max="9" width="11.42578125" style="86"/>
    <col min="256" max="256" width="85.5703125" customWidth="1"/>
    <col min="257" max="264" width="10.7109375" customWidth="1"/>
    <col min="512" max="512" width="85.5703125" customWidth="1"/>
    <col min="513" max="520" width="10.7109375" customWidth="1"/>
    <col min="768" max="768" width="85.5703125" customWidth="1"/>
    <col min="769" max="776" width="10.7109375" customWidth="1"/>
    <col min="1024" max="1024" width="85.5703125" customWidth="1"/>
    <col min="1025" max="1032" width="10.7109375" customWidth="1"/>
    <col min="1280" max="1280" width="85.5703125" customWidth="1"/>
    <col min="1281" max="1288" width="10.7109375" customWidth="1"/>
    <col min="1536" max="1536" width="85.5703125" customWidth="1"/>
    <col min="1537" max="1544" width="10.7109375" customWidth="1"/>
    <col min="1792" max="1792" width="85.5703125" customWidth="1"/>
    <col min="1793" max="1800" width="10.7109375" customWidth="1"/>
    <col min="2048" max="2048" width="85.5703125" customWidth="1"/>
    <col min="2049" max="2056" width="10.7109375" customWidth="1"/>
    <col min="2304" max="2304" width="85.5703125" customWidth="1"/>
    <col min="2305" max="2312" width="10.7109375" customWidth="1"/>
    <col min="2560" max="2560" width="85.5703125" customWidth="1"/>
    <col min="2561" max="2568" width="10.7109375" customWidth="1"/>
    <col min="2816" max="2816" width="85.5703125" customWidth="1"/>
    <col min="2817" max="2824" width="10.7109375" customWidth="1"/>
    <col min="3072" max="3072" width="85.5703125" customWidth="1"/>
    <col min="3073" max="3080" width="10.7109375" customWidth="1"/>
    <col min="3328" max="3328" width="85.5703125" customWidth="1"/>
    <col min="3329" max="3336" width="10.7109375" customWidth="1"/>
    <col min="3584" max="3584" width="85.5703125" customWidth="1"/>
    <col min="3585" max="3592" width="10.7109375" customWidth="1"/>
    <col min="3840" max="3840" width="85.5703125" customWidth="1"/>
    <col min="3841" max="3848" width="10.7109375" customWidth="1"/>
    <col min="4096" max="4096" width="85.5703125" customWidth="1"/>
    <col min="4097" max="4104" width="10.7109375" customWidth="1"/>
    <col min="4352" max="4352" width="85.5703125" customWidth="1"/>
    <col min="4353" max="4360" width="10.7109375" customWidth="1"/>
    <col min="4608" max="4608" width="85.5703125" customWidth="1"/>
    <col min="4609" max="4616" width="10.7109375" customWidth="1"/>
    <col min="4864" max="4864" width="85.5703125" customWidth="1"/>
    <col min="4865" max="4872" width="10.7109375" customWidth="1"/>
    <col min="5120" max="5120" width="85.5703125" customWidth="1"/>
    <col min="5121" max="5128" width="10.7109375" customWidth="1"/>
    <col min="5376" max="5376" width="85.5703125" customWidth="1"/>
    <col min="5377" max="5384" width="10.7109375" customWidth="1"/>
    <col min="5632" max="5632" width="85.5703125" customWidth="1"/>
    <col min="5633" max="5640" width="10.7109375" customWidth="1"/>
    <col min="5888" max="5888" width="85.5703125" customWidth="1"/>
    <col min="5889" max="5896" width="10.7109375" customWidth="1"/>
    <col min="6144" max="6144" width="85.5703125" customWidth="1"/>
    <col min="6145" max="6152" width="10.7109375" customWidth="1"/>
    <col min="6400" max="6400" width="85.5703125" customWidth="1"/>
    <col min="6401" max="6408" width="10.7109375" customWidth="1"/>
    <col min="6656" max="6656" width="85.5703125" customWidth="1"/>
    <col min="6657" max="6664" width="10.7109375" customWidth="1"/>
    <col min="6912" max="6912" width="85.5703125" customWidth="1"/>
    <col min="6913" max="6920" width="10.7109375" customWidth="1"/>
    <col min="7168" max="7168" width="85.5703125" customWidth="1"/>
    <col min="7169" max="7176" width="10.7109375" customWidth="1"/>
    <col min="7424" max="7424" width="85.5703125" customWidth="1"/>
    <col min="7425" max="7432" width="10.7109375" customWidth="1"/>
    <col min="7680" max="7680" width="85.5703125" customWidth="1"/>
    <col min="7681" max="7688" width="10.7109375" customWidth="1"/>
    <col min="7936" max="7936" width="85.5703125" customWidth="1"/>
    <col min="7937" max="7944" width="10.7109375" customWidth="1"/>
    <col min="8192" max="8192" width="85.5703125" customWidth="1"/>
    <col min="8193" max="8200" width="10.7109375" customWidth="1"/>
    <col min="8448" max="8448" width="85.5703125" customWidth="1"/>
    <col min="8449" max="8456" width="10.7109375" customWidth="1"/>
    <col min="8704" max="8704" width="85.5703125" customWidth="1"/>
    <col min="8705" max="8712" width="10.7109375" customWidth="1"/>
    <col min="8960" max="8960" width="85.5703125" customWidth="1"/>
    <col min="8961" max="8968" width="10.7109375" customWidth="1"/>
    <col min="9216" max="9216" width="85.5703125" customWidth="1"/>
    <col min="9217" max="9224" width="10.7109375" customWidth="1"/>
    <col min="9472" max="9472" width="85.5703125" customWidth="1"/>
    <col min="9473" max="9480" width="10.7109375" customWidth="1"/>
    <col min="9728" max="9728" width="85.5703125" customWidth="1"/>
    <col min="9729" max="9736" width="10.7109375" customWidth="1"/>
    <col min="9984" max="9984" width="85.5703125" customWidth="1"/>
    <col min="9985" max="9992" width="10.7109375" customWidth="1"/>
    <col min="10240" max="10240" width="85.5703125" customWidth="1"/>
    <col min="10241" max="10248" width="10.7109375" customWidth="1"/>
    <col min="10496" max="10496" width="85.5703125" customWidth="1"/>
    <col min="10497" max="10504" width="10.7109375" customWidth="1"/>
    <col min="10752" max="10752" width="85.5703125" customWidth="1"/>
    <col min="10753" max="10760" width="10.7109375" customWidth="1"/>
    <col min="11008" max="11008" width="85.5703125" customWidth="1"/>
    <col min="11009" max="11016" width="10.7109375" customWidth="1"/>
    <col min="11264" max="11264" width="85.5703125" customWidth="1"/>
    <col min="11265" max="11272" width="10.7109375" customWidth="1"/>
    <col min="11520" max="11520" width="85.5703125" customWidth="1"/>
    <col min="11521" max="11528" width="10.7109375" customWidth="1"/>
    <col min="11776" max="11776" width="85.5703125" customWidth="1"/>
    <col min="11777" max="11784" width="10.7109375" customWidth="1"/>
    <col min="12032" max="12032" width="85.5703125" customWidth="1"/>
    <col min="12033" max="12040" width="10.7109375" customWidth="1"/>
    <col min="12288" max="12288" width="85.5703125" customWidth="1"/>
    <col min="12289" max="12296" width="10.7109375" customWidth="1"/>
    <col min="12544" max="12544" width="85.5703125" customWidth="1"/>
    <col min="12545" max="12552" width="10.7109375" customWidth="1"/>
    <col min="12800" max="12800" width="85.5703125" customWidth="1"/>
    <col min="12801" max="12808" width="10.7109375" customWidth="1"/>
    <col min="13056" max="13056" width="85.5703125" customWidth="1"/>
    <col min="13057" max="13064" width="10.7109375" customWidth="1"/>
    <col min="13312" max="13312" width="85.5703125" customWidth="1"/>
    <col min="13313" max="13320" width="10.7109375" customWidth="1"/>
    <col min="13568" max="13568" width="85.5703125" customWidth="1"/>
    <col min="13569" max="13576" width="10.7109375" customWidth="1"/>
    <col min="13824" max="13824" width="85.5703125" customWidth="1"/>
    <col min="13825" max="13832" width="10.7109375" customWidth="1"/>
    <col min="14080" max="14080" width="85.5703125" customWidth="1"/>
    <col min="14081" max="14088" width="10.7109375" customWidth="1"/>
    <col min="14336" max="14336" width="85.5703125" customWidth="1"/>
    <col min="14337" max="14344" width="10.7109375" customWidth="1"/>
    <col min="14592" max="14592" width="85.5703125" customWidth="1"/>
    <col min="14593" max="14600" width="10.7109375" customWidth="1"/>
    <col min="14848" max="14848" width="85.5703125" customWidth="1"/>
    <col min="14849" max="14856" width="10.7109375" customWidth="1"/>
    <col min="15104" max="15104" width="85.5703125" customWidth="1"/>
    <col min="15105" max="15112" width="10.7109375" customWidth="1"/>
    <col min="15360" max="15360" width="85.5703125" customWidth="1"/>
    <col min="15361" max="15368" width="10.7109375" customWidth="1"/>
    <col min="15616" max="15616" width="85.5703125" customWidth="1"/>
    <col min="15617" max="15624" width="10.7109375" customWidth="1"/>
    <col min="15872" max="15872" width="85.5703125" customWidth="1"/>
    <col min="15873" max="15880" width="10.7109375" customWidth="1"/>
    <col min="16128" max="16128" width="85.5703125" customWidth="1"/>
    <col min="16129" max="16136" width="10.7109375" customWidth="1"/>
  </cols>
  <sheetData>
    <row r="1" spans="1:8" ht="18" customHeight="1">
      <c r="A1" s="197" t="str">
        <f>HLOOKUP(INDICE!$F$2,Nombres!$C$3:$E$853,301)</f>
        <v>Banking activity in Spain</v>
      </c>
      <c r="B1" s="72"/>
      <c r="C1" s="72"/>
      <c r="D1" s="72"/>
      <c r="E1" s="72"/>
      <c r="F1" s="72"/>
      <c r="G1" s="72"/>
      <c r="H1" s="72"/>
    </row>
    <row r="2" spans="1:8" ht="18" customHeight="1">
      <c r="A2" s="198"/>
      <c r="B2" s="72"/>
      <c r="C2" s="72"/>
      <c r="D2" s="72"/>
      <c r="E2" s="72"/>
      <c r="F2" s="72"/>
      <c r="G2" s="72"/>
      <c r="H2" s="72"/>
    </row>
    <row r="3" spans="1:8" ht="18">
      <c r="A3" s="65" t="str">
        <f>HLOOKUP(INDICE!$F$2,Nombres!$C$3:$E$853,93)</f>
        <v xml:space="preserve">Income statement  </v>
      </c>
      <c r="B3" s="67"/>
      <c r="C3" s="199"/>
      <c r="D3" s="199"/>
      <c r="E3" s="199"/>
      <c r="F3" s="67"/>
      <c r="G3" s="67"/>
      <c r="H3" s="67"/>
    </row>
    <row r="4" spans="1:8">
      <c r="A4" s="68" t="str">
        <f>HLOOKUP(INDICE!$F$2,Nombres!$C$3:$E$853,30)</f>
        <v>(Million euros)</v>
      </c>
      <c r="B4" s="72"/>
      <c r="C4" s="72"/>
      <c r="D4" s="200"/>
      <c r="E4" s="200"/>
      <c r="F4" s="72"/>
      <c r="G4" s="72"/>
      <c r="H4" s="72"/>
    </row>
    <row r="5" spans="1:8" ht="15.75">
      <c r="A5" s="201"/>
      <c r="B5" s="243"/>
      <c r="C5" s="243"/>
      <c r="D5" s="244"/>
      <c r="E5" s="244"/>
      <c r="F5" s="243"/>
      <c r="G5" s="243"/>
      <c r="H5" s="243"/>
    </row>
    <row r="6" spans="1:8" ht="15.75">
      <c r="A6" s="73"/>
      <c r="B6" s="315">
        <v>2017</v>
      </c>
      <c r="C6" s="316"/>
      <c r="D6" s="316"/>
      <c r="E6" s="316"/>
      <c r="F6" s="315">
        <v>2018</v>
      </c>
      <c r="G6" s="316"/>
      <c r="H6" s="316"/>
    </row>
    <row r="7" spans="1:8" ht="11.25" customHeight="1">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row>
    <row r="8" spans="1:8">
      <c r="A8" s="139" t="str">
        <f>HLOOKUP(INDICE!$F$2,Nombres!$C$3:$E$853,38)</f>
        <v>Net interest income</v>
      </c>
      <c r="B8" s="202">
        <v>935.16770510000015</v>
      </c>
      <c r="C8" s="77">
        <v>929.16396923999991</v>
      </c>
      <c r="D8" s="77">
        <v>927.22811423999974</v>
      </c>
      <c r="E8" s="203">
        <v>946.27707912000005</v>
      </c>
      <c r="F8" s="77">
        <v>920.53830774999983</v>
      </c>
      <c r="G8" s="77">
        <v>915.78797399000007</v>
      </c>
      <c r="H8" s="77">
        <v>912.36286060999998</v>
      </c>
    </row>
    <row r="9" spans="1:8">
      <c r="A9" s="125" t="str">
        <f>HLOOKUP(INDICE!$F$2,Nombres!$C$3:$E$853,39)</f>
        <v>Net fees and commissions</v>
      </c>
      <c r="B9" s="204">
        <v>382.14617138000006</v>
      </c>
      <c r="C9" s="82">
        <v>400.85718590999994</v>
      </c>
      <c r="D9" s="82">
        <v>390.72407016999972</v>
      </c>
      <c r="E9" s="205">
        <v>387.02784778000006</v>
      </c>
      <c r="F9" s="82">
        <v>411.76775367999994</v>
      </c>
      <c r="G9" s="82">
        <v>438.39602909000013</v>
      </c>
      <c r="H9" s="82">
        <v>417.81059831999994</v>
      </c>
    </row>
    <row r="10" spans="1:8">
      <c r="A10" s="125" t="str">
        <f>HLOOKUP(INDICE!$F$2,Nombres!$C$3:$E$853,40)</f>
        <v>Net trading income</v>
      </c>
      <c r="B10" s="204">
        <v>225.16772281000001</v>
      </c>
      <c r="C10" s="82">
        <v>92.867834400000007</v>
      </c>
      <c r="D10" s="82">
        <v>75.719701999999984</v>
      </c>
      <c r="E10" s="205">
        <v>161.17295006000001</v>
      </c>
      <c r="F10" s="82">
        <v>166.56613450999998</v>
      </c>
      <c r="G10" s="82">
        <v>115.05937511999996</v>
      </c>
      <c r="H10" s="82">
        <v>36.426602370000019</v>
      </c>
    </row>
    <row r="11" spans="1:8">
      <c r="A11" s="125" t="str">
        <f>HLOOKUP(INDICE!$F$2,Nombres!$C$3:$E$853,95)</f>
        <v>Other operating income and expenses</v>
      </c>
      <c r="B11" s="204">
        <v>134.00925226000001</v>
      </c>
      <c r="C11" s="82">
        <v>100.45871035</v>
      </c>
      <c r="D11" s="82">
        <v>140.29346130000002</v>
      </c>
      <c r="E11" s="205">
        <v>-48.205044840000035</v>
      </c>
      <c r="F11" s="82">
        <v>97.009830569999991</v>
      </c>
      <c r="G11" s="82">
        <v>-15.230012610000003</v>
      </c>
      <c r="H11" s="82">
        <v>99.881680969999991</v>
      </c>
    </row>
    <row r="12" spans="1:8">
      <c r="A12" s="139" t="str">
        <f>HLOOKUP(INDICE!$F$2,Nombres!$C$3:$E$853,44)</f>
        <v>Gross income</v>
      </c>
      <c r="B12" s="202">
        <v>1676.4908515500001</v>
      </c>
      <c r="C12" s="77">
        <v>1523.3476999000002</v>
      </c>
      <c r="D12" s="77">
        <v>1533.9653477099996</v>
      </c>
      <c r="E12" s="203">
        <v>1446.2728321200002</v>
      </c>
      <c r="F12" s="77">
        <v>1595.8820265099998</v>
      </c>
      <c r="G12" s="77">
        <v>1454.0133655899999</v>
      </c>
      <c r="H12" s="77">
        <v>1466.4817422699998</v>
      </c>
    </row>
    <row r="13" spans="1:8">
      <c r="A13" s="125" t="str">
        <f>HLOOKUP(INDICE!$F$2,Nombres!$C$3:$E$853,45)</f>
        <v>Operating expenses</v>
      </c>
      <c r="B13" s="204">
        <v>-858.8520322352739</v>
      </c>
      <c r="C13" s="82">
        <v>-856.46934311527411</v>
      </c>
      <c r="D13" s="82">
        <v>-840.7343013052739</v>
      </c>
      <c r="E13" s="205">
        <v>-834.27740853527393</v>
      </c>
      <c r="F13" s="82">
        <v>-822.54159131999984</v>
      </c>
      <c r="G13" s="82">
        <v>-821.88740613000004</v>
      </c>
      <c r="H13" s="82">
        <v>-810.50034568000001</v>
      </c>
    </row>
    <row r="14" spans="1:8">
      <c r="A14" s="125" t="str">
        <f>HLOOKUP(INDICE!$F$2,Nombres!$C$3:$E$853,46)</f>
        <v xml:space="preserve">  Administration expenses</v>
      </c>
      <c r="B14" s="204">
        <v>-777.91317965592384</v>
      </c>
      <c r="C14" s="82">
        <v>-774.05494870592406</v>
      </c>
      <c r="D14" s="82">
        <v>-760.02654024592391</v>
      </c>
      <c r="E14" s="205">
        <v>-759.05275586592393</v>
      </c>
      <c r="F14" s="82">
        <v>-751.29832239999996</v>
      </c>
      <c r="G14" s="82">
        <v>-749.36058099999991</v>
      </c>
      <c r="H14" s="82">
        <v>-737.82170192000001</v>
      </c>
    </row>
    <row r="15" spans="1:8">
      <c r="A15" s="141" t="str">
        <f>HLOOKUP(INDICE!$F$2,Nombres!$C$3:$E$853,47)</f>
        <v xml:space="preserve">  Personnel expenses</v>
      </c>
      <c r="B15" s="204">
        <v>-479.33421904140084</v>
      </c>
      <c r="C15" s="82">
        <v>-485.23380228140093</v>
      </c>
      <c r="D15" s="82">
        <v>-478.80155389140077</v>
      </c>
      <c r="E15" s="205">
        <v>-473.33147429140081</v>
      </c>
      <c r="F15" s="82">
        <v>-472.69646765999994</v>
      </c>
      <c r="G15" s="82">
        <v>-462.63930253000001</v>
      </c>
      <c r="H15" s="82">
        <v>-459.57981160000008</v>
      </c>
    </row>
    <row r="16" spans="1:8">
      <c r="A16" s="141" t="str">
        <f>HLOOKUP(INDICE!$F$2,Nombres!$C$3:$E$853,48)</f>
        <v xml:space="preserve">  General and administrative expenses</v>
      </c>
      <c r="B16" s="204">
        <v>-298.57896061452317</v>
      </c>
      <c r="C16" s="82">
        <v>-288.82114642452314</v>
      </c>
      <c r="D16" s="82">
        <v>-281.22498635452314</v>
      </c>
      <c r="E16" s="205">
        <v>-285.72128157452312</v>
      </c>
      <c r="F16" s="82">
        <v>-278.60185473999996</v>
      </c>
      <c r="G16" s="82">
        <v>-286.72127847000002</v>
      </c>
      <c r="H16" s="82">
        <v>-278.24189031999998</v>
      </c>
    </row>
    <row r="17" spans="1:8" ht="13.5" customHeight="1">
      <c r="A17" s="125" t="str">
        <f>HLOOKUP(INDICE!$F$2,Nombres!$C$3:$E$853,49)</f>
        <v xml:space="preserve">  Depreciation</v>
      </c>
      <c r="B17" s="204">
        <v>-80.938852579349998</v>
      </c>
      <c r="C17" s="82">
        <v>-82.41439440935001</v>
      </c>
      <c r="D17" s="82">
        <v>-80.707761059350005</v>
      </c>
      <c r="E17" s="205">
        <v>-75.224652669350007</v>
      </c>
      <c r="F17" s="82">
        <v>-71.243268919999991</v>
      </c>
      <c r="G17" s="82">
        <v>-72.52682513000002</v>
      </c>
      <c r="H17" s="82">
        <v>-72.678643759999986</v>
      </c>
    </row>
    <row r="18" spans="1:8" ht="12.75" customHeight="1">
      <c r="A18" s="139" t="str">
        <f>HLOOKUP(INDICE!$F$2,Nombres!$C$3:$E$853,50)</f>
        <v>Operating income</v>
      </c>
      <c r="B18" s="202">
        <v>817.63881931472611</v>
      </c>
      <c r="C18" s="77">
        <v>666.87835678472595</v>
      </c>
      <c r="D18" s="77">
        <v>693.23104640472548</v>
      </c>
      <c r="E18" s="203">
        <v>611.99542358472604</v>
      </c>
      <c r="F18" s="77">
        <v>773.34043518999999</v>
      </c>
      <c r="G18" s="77">
        <v>632.12595945999999</v>
      </c>
      <c r="H18" s="77">
        <v>655.9813965899998</v>
      </c>
    </row>
    <row r="19" spans="1:8" ht="13.5" customHeight="1">
      <c r="A19" s="125" t="str">
        <f>HLOOKUP(INDICE!$F$2,Nombres!$C$3:$E$853,51)</f>
        <v>Impaiment on financial assets not measured at fair value through profit or loss</v>
      </c>
      <c r="B19" s="204">
        <v>-165.30518426</v>
      </c>
      <c r="C19" s="82">
        <v>-137.05396245</v>
      </c>
      <c r="D19" s="82">
        <v>-126.15028947000002</v>
      </c>
      <c r="E19" s="205">
        <v>-138.46467174000003</v>
      </c>
      <c r="F19" s="82">
        <v>-70.442908580000022</v>
      </c>
      <c r="G19" s="82">
        <v>-104.21643460999994</v>
      </c>
      <c r="H19" s="82">
        <v>-106.19816490999997</v>
      </c>
    </row>
    <row r="20" spans="1:8" ht="13.5" customHeight="1">
      <c r="A20" s="125" t="str">
        <f>HLOOKUP(INDICE!$F$2,Nombres!$C$3:$E$853,160)</f>
        <v>Provisions or reversal of provisions and other results</v>
      </c>
      <c r="B20" s="204">
        <v>-128.91976807</v>
      </c>
      <c r="C20" s="82">
        <v>-117.63979516000001</v>
      </c>
      <c r="D20" s="82">
        <v>-43.758780420000008</v>
      </c>
      <c r="E20" s="205">
        <v>-78.502426879999973</v>
      </c>
      <c r="F20" s="82">
        <v>-87.082036760000008</v>
      </c>
      <c r="G20" s="82">
        <v>-33.515013170000003</v>
      </c>
      <c r="H20" s="82">
        <v>-86.441788549999984</v>
      </c>
    </row>
    <row r="21" spans="1:8" ht="12.75" customHeight="1">
      <c r="A21" s="139" t="str">
        <f>HLOOKUP(INDICE!$F$2,Nombres!$C$3:$E$853,54)</f>
        <v>Profit/(loss) before tax</v>
      </c>
      <c r="B21" s="202">
        <v>523.41386698472616</v>
      </c>
      <c r="C21" s="77">
        <v>412.18459917472586</v>
      </c>
      <c r="D21" s="77">
        <v>523.32197651472541</v>
      </c>
      <c r="E21" s="203">
        <v>395.02832496472604</v>
      </c>
      <c r="F21" s="77">
        <v>615.81548984999995</v>
      </c>
      <c r="G21" s="77">
        <v>494.39451167999994</v>
      </c>
      <c r="H21" s="77">
        <v>463.3414431299999</v>
      </c>
    </row>
    <row r="22" spans="1:8" ht="13.5" customHeight="1">
      <c r="A22" s="125" t="str">
        <f>HLOOKUP(INDICE!$F$2,Nombres!$C$3:$E$853,55)</f>
        <v>Income tax</v>
      </c>
      <c r="B22" s="204">
        <v>-150.42643000000001</v>
      </c>
      <c r="C22" s="82">
        <v>-118.28275389999999</v>
      </c>
      <c r="D22" s="82">
        <v>-132.22298472</v>
      </c>
      <c r="E22" s="205">
        <v>-76.195563270000036</v>
      </c>
      <c r="F22" s="82">
        <v>-178.12088550999999</v>
      </c>
      <c r="G22" s="82">
        <v>-137.51077850999999</v>
      </c>
      <c r="H22" s="82">
        <v>-88.767018979999989</v>
      </c>
    </row>
    <row r="23" spans="1:8" ht="13.5" customHeight="1">
      <c r="A23" s="139" t="str">
        <f>HLOOKUP(INDICE!$F$2,Nombres!$C$3:$E$853,56)</f>
        <v>Profit/(loss) for the year</v>
      </c>
      <c r="B23" s="202">
        <v>372.98743698472617</v>
      </c>
      <c r="C23" s="77">
        <v>293.90184527472587</v>
      </c>
      <c r="D23" s="77">
        <v>391.09899179472546</v>
      </c>
      <c r="E23" s="203">
        <v>318.83276169472595</v>
      </c>
      <c r="F23" s="77">
        <v>437.69460434000001</v>
      </c>
      <c r="G23" s="77">
        <v>356.88373316999991</v>
      </c>
      <c r="H23" s="77">
        <v>374.5744241499998</v>
      </c>
    </row>
    <row r="24" spans="1:8" ht="12" customHeight="1">
      <c r="A24" s="125" t="str">
        <f>HLOOKUP(INDICE!$F$2,Nombres!$C$3:$E$853,57)</f>
        <v>Non-controlling interests</v>
      </c>
      <c r="B24" s="204">
        <v>-0.69100141999999998</v>
      </c>
      <c r="C24" s="82">
        <v>-0.70597125999999999</v>
      </c>
      <c r="D24" s="82">
        <v>-0.74400557000000034</v>
      </c>
      <c r="E24" s="205">
        <v>-0.65745416999999962</v>
      </c>
      <c r="F24" s="82">
        <v>-0.83426447000000015</v>
      </c>
      <c r="G24" s="82">
        <v>-0.76838779000000001</v>
      </c>
      <c r="H24" s="82">
        <v>-0.7147031800000001</v>
      </c>
    </row>
    <row r="25" spans="1:8" ht="14.25" customHeight="1">
      <c r="A25" s="206" t="str">
        <f>HLOOKUP(INDICE!$F$2,Nombres!$C$3:$E$853,58)</f>
        <v>Net attributable profit</v>
      </c>
      <c r="B25" s="207">
        <v>372.29643556472621</v>
      </c>
      <c r="C25" s="208">
        <v>293.19587401472597</v>
      </c>
      <c r="D25" s="208">
        <v>390.35498622472539</v>
      </c>
      <c r="E25" s="209">
        <v>318.17530752472601</v>
      </c>
      <c r="F25" s="208">
        <v>436.86033987000008</v>
      </c>
      <c r="G25" s="208">
        <v>356.11534537999995</v>
      </c>
      <c r="H25" s="208">
        <v>373.85972096999984</v>
      </c>
    </row>
    <row r="26" spans="1:8" ht="14.25" customHeight="1">
      <c r="A26" s="72"/>
      <c r="B26" s="72"/>
      <c r="C26" s="72"/>
      <c r="D26" s="72"/>
      <c r="E26" s="72"/>
      <c r="F26" s="72"/>
      <c r="G26" s="72"/>
      <c r="H26" s="72"/>
    </row>
    <row r="27" spans="1:8" ht="18" customHeight="1">
      <c r="A27" s="65" t="str">
        <f>HLOOKUP(INDICE!$F$2,Nombres!$C$3:$E$853,94)</f>
        <v>Balance sheets</v>
      </c>
      <c r="B27" s="67"/>
      <c r="C27" s="67"/>
      <c r="D27" s="67"/>
      <c r="E27" s="67"/>
      <c r="F27" s="89"/>
      <c r="G27" s="210"/>
      <c r="H27" s="210"/>
    </row>
    <row r="28" spans="1:8" ht="12.75" customHeight="1">
      <c r="A28" s="68" t="str">
        <f>HLOOKUP(INDICE!$F$2,Nombres!$C$3:$E$853,30)</f>
        <v>(Million euros)</v>
      </c>
      <c r="B28" s="72"/>
      <c r="C28" s="211"/>
      <c r="D28" s="211"/>
      <c r="E28" s="211"/>
      <c r="F28" s="84"/>
      <c r="G28" s="212"/>
      <c r="H28" s="212"/>
    </row>
    <row r="29" spans="1:8" ht="15.75">
      <c r="A29" s="72"/>
      <c r="B29" s="59">
        <v>42825</v>
      </c>
      <c r="C29" s="59">
        <v>42916</v>
      </c>
      <c r="D29" s="59">
        <v>43008</v>
      </c>
      <c r="E29" s="59">
        <v>43100</v>
      </c>
      <c r="F29" s="59">
        <v>43190</v>
      </c>
      <c r="G29" s="59">
        <v>43281</v>
      </c>
      <c r="H29" s="59">
        <v>43373</v>
      </c>
    </row>
    <row r="30" spans="1:8">
      <c r="A30" s="125" t="str">
        <f>HLOOKUP(INDICE!$F$2,Nombres!$C$3:$E$853,100)</f>
        <v>Cash, cash balances at central banks and other demand deposits</v>
      </c>
      <c r="B30" s="204">
        <v>3793.633319</v>
      </c>
      <c r="C30" s="82">
        <v>11314.546034999999</v>
      </c>
      <c r="D30" s="82">
        <v>9543.0303750000003</v>
      </c>
      <c r="E30" s="205">
        <v>13462.873044</v>
      </c>
      <c r="F30" s="82">
        <v>19305.595084</v>
      </c>
      <c r="G30" s="82">
        <v>14565.038753000001</v>
      </c>
      <c r="H30" s="82">
        <v>18559.212158000002</v>
      </c>
    </row>
    <row r="31" spans="1:8">
      <c r="A31" s="125" t="str">
        <f>HLOOKUP(INDICE!$F$2,Nombres!$C$3:$E$853,101)</f>
        <v xml:space="preserve">Financial assets designated at fair value </v>
      </c>
      <c r="B31" s="204">
        <v>84562.56129374</v>
      </c>
      <c r="C31" s="82">
        <v>79323.71343507999</v>
      </c>
      <c r="D31" s="82">
        <v>81940.244376740011</v>
      </c>
      <c r="E31" s="205">
        <v>79500.789316670038</v>
      </c>
      <c r="F31" s="82">
        <v>103370.99553439001</v>
      </c>
      <c r="G31" s="82">
        <v>103640.73566059</v>
      </c>
      <c r="H31" s="82">
        <v>103417.96968288999</v>
      </c>
    </row>
    <row r="32" spans="1:8">
      <c r="A32" s="125" t="str">
        <f>HLOOKUP(INDICE!$F$2,Nombres!$C$3:$E$853,406)</f>
        <v>Financial assets at amortized cost</v>
      </c>
      <c r="B32" s="204">
        <v>217602.71758098001</v>
      </c>
      <c r="C32" s="82">
        <v>216956.86137681999</v>
      </c>
      <c r="D32" s="82">
        <v>215689.17641809999</v>
      </c>
      <c r="E32" s="205">
        <v>221391.19923678</v>
      </c>
      <c r="F32" s="82">
        <v>192621.62484833002</v>
      </c>
      <c r="G32" s="82">
        <v>196144.91686</v>
      </c>
      <c r="H32" s="82">
        <v>193643.35792938998</v>
      </c>
    </row>
    <row r="33" spans="1:8">
      <c r="A33" s="125" t="str">
        <f>HLOOKUP(INDICE!$F$2,Nombres!$C$3:$E$853,103)</f>
        <v xml:space="preserve">    of which loans and advances to customers</v>
      </c>
      <c r="B33" s="204">
        <v>179050.04118298</v>
      </c>
      <c r="C33" s="82">
        <v>179919.91223682003</v>
      </c>
      <c r="D33" s="82">
        <v>177301.74394010004</v>
      </c>
      <c r="E33" s="205">
        <v>183171.76486578005</v>
      </c>
      <c r="F33" s="82">
        <v>167523.87332333002</v>
      </c>
      <c r="G33" s="82">
        <v>170055.267471</v>
      </c>
      <c r="H33" s="82">
        <v>167856.42120538998</v>
      </c>
    </row>
    <row r="34" spans="1:8">
      <c r="A34" s="125" t="str">
        <f>HLOOKUP(INDICE!$F$2,Nombres!$C$3:$E$853,105)</f>
        <v>Inter-area positions</v>
      </c>
      <c r="B34" s="213">
        <v>6886.7772210296243</v>
      </c>
      <c r="C34" s="82">
        <v>5024.425734092365</v>
      </c>
      <c r="D34" s="82">
        <v>2424.9563564684358</v>
      </c>
      <c r="E34" s="205">
        <v>1805.6621684887214</v>
      </c>
      <c r="F34" s="82">
        <v>1896.8273454197915</v>
      </c>
      <c r="G34" s="82">
        <v>5319.2131780501222</v>
      </c>
      <c r="H34" s="82">
        <v>4276.4949032700388</v>
      </c>
    </row>
    <row r="35" spans="1:8">
      <c r="A35" s="125" t="str">
        <f>HLOOKUP(INDICE!$F$2,Nombres!$C$3:$E$853,106)</f>
        <v>Tangible assets</v>
      </c>
      <c r="B35" s="214">
        <v>1426.1420579999999</v>
      </c>
      <c r="C35" s="82">
        <v>1006.648388</v>
      </c>
      <c r="D35" s="82">
        <v>995.01126600000009</v>
      </c>
      <c r="E35" s="205">
        <v>876.6374800000001</v>
      </c>
      <c r="F35" s="82">
        <v>970.08279400000004</v>
      </c>
      <c r="G35" s="82">
        <v>949.96628600000008</v>
      </c>
      <c r="H35" s="82">
        <v>937.08684100000005</v>
      </c>
    </row>
    <row r="36" spans="1:8">
      <c r="A36" s="125" t="str">
        <f>HLOOKUP(INDICE!$F$2,Nombres!$C$3:$E$853,107)</f>
        <v>Other assets</v>
      </c>
      <c r="B36" s="204">
        <v>3114.2269373098957</v>
      </c>
      <c r="C36" s="82">
        <v>2377.206195569926</v>
      </c>
      <c r="D36" s="82">
        <v>2355.1989974500971</v>
      </c>
      <c r="E36" s="205">
        <v>2379.8570825099764</v>
      </c>
      <c r="F36" s="82">
        <v>4763.7893438599995</v>
      </c>
      <c r="G36" s="82">
        <v>4982.9693327599998</v>
      </c>
      <c r="H36" s="82">
        <v>5972.9390819999999</v>
      </c>
    </row>
    <row r="37" spans="1:8">
      <c r="A37" s="206" t="str">
        <f>HLOOKUP(INDICE!$F$2,Nombres!$C$3:$E$853,108)</f>
        <v>Total assets / Liabilities and equity</v>
      </c>
      <c r="B37" s="207">
        <v>317386.05841005954</v>
      </c>
      <c r="C37" s="208">
        <v>316003.40116456227</v>
      </c>
      <c r="D37" s="208">
        <v>312947.61778975854</v>
      </c>
      <c r="E37" s="209">
        <v>319417.0183284487</v>
      </c>
      <c r="F37" s="208">
        <v>322928.91494999983</v>
      </c>
      <c r="G37" s="208">
        <v>325602.84007040004</v>
      </c>
      <c r="H37" s="208">
        <v>326807.06059655006</v>
      </c>
    </row>
    <row r="38" spans="1:8">
      <c r="A38" s="125" t="str">
        <f>HLOOKUP(INDICE!$F$2,Nombres!$C$3:$E$853,111)</f>
        <v>Financial liabilities held for trading and designated at fair value through profit or loss</v>
      </c>
      <c r="B38" s="204">
        <v>37584.446898999995</v>
      </c>
      <c r="C38" s="82">
        <v>36243.675992999997</v>
      </c>
      <c r="D38" s="82">
        <v>35885.072242000002</v>
      </c>
      <c r="E38" s="205">
        <v>36816.634163999996</v>
      </c>
      <c r="F38" s="82">
        <v>70606.857188000009</v>
      </c>
      <c r="G38" s="82">
        <v>68867.025664000001</v>
      </c>
      <c r="H38" s="82">
        <v>68818.914768999995</v>
      </c>
    </row>
    <row r="39" spans="1:8">
      <c r="A39" s="125" t="str">
        <f>HLOOKUP(INDICE!$F$2,Nombres!$C$3:$E$853,109)</f>
        <v>Deposits from central banks and credit institutions</v>
      </c>
      <c r="B39" s="204">
        <v>58484.455469000444</v>
      </c>
      <c r="C39" s="82">
        <v>55918.699327995331</v>
      </c>
      <c r="D39" s="82">
        <v>50599.289544003601</v>
      </c>
      <c r="E39" s="205">
        <v>62225.58439377333</v>
      </c>
      <c r="F39" s="82">
        <v>42287.040783000004</v>
      </c>
      <c r="G39" s="82">
        <v>40750.979616999997</v>
      </c>
      <c r="H39" s="82">
        <v>41337.955587999997</v>
      </c>
    </row>
    <row r="40" spans="1:8">
      <c r="A40" s="125" t="str">
        <f>HLOOKUP(INDICE!$F$2,Nombres!$C$3:$E$853,110)</f>
        <v>Deposits from customers</v>
      </c>
      <c r="B40" s="204">
        <v>176810.19506200001</v>
      </c>
      <c r="C40" s="82">
        <v>181811.52447299997</v>
      </c>
      <c r="D40" s="82">
        <v>183314.04815800005</v>
      </c>
      <c r="E40" s="205">
        <v>177763.11423300006</v>
      </c>
      <c r="F40" s="82">
        <v>169095.86473479003</v>
      </c>
      <c r="G40" s="82">
        <v>173440.69679000002</v>
      </c>
      <c r="H40" s="82">
        <v>173924.53320399998</v>
      </c>
    </row>
    <row r="41" spans="1:8" ht="13.5" customHeight="1">
      <c r="A41" s="125" t="str">
        <f>HLOOKUP(INDICE!$F$2,Nombres!$C$3:$E$853,112)</f>
        <v>Debt certificates</v>
      </c>
      <c r="B41" s="204">
        <v>34588.955059643202</v>
      </c>
      <c r="C41" s="82">
        <v>32436.646150860339</v>
      </c>
      <c r="D41" s="82">
        <v>33787.966056921192</v>
      </c>
      <c r="E41" s="205">
        <v>33301.345748389853</v>
      </c>
      <c r="F41" s="82">
        <v>31680.23905186</v>
      </c>
      <c r="G41" s="82">
        <v>32515.963394139999</v>
      </c>
      <c r="H41" s="82">
        <v>31613.106277320006</v>
      </c>
    </row>
    <row r="42" spans="1:8">
      <c r="A42" s="125" t="str">
        <f>HLOOKUP(INDICE!$F$2,Nombres!$C$3:$E$853,113)</f>
        <v>Inter-area positions</v>
      </c>
      <c r="B42" s="228">
        <v>0</v>
      </c>
      <c r="C42" s="82">
        <v>0</v>
      </c>
      <c r="D42" s="82">
        <v>0</v>
      </c>
      <c r="E42" s="205">
        <v>0</v>
      </c>
      <c r="F42" s="82">
        <v>0</v>
      </c>
      <c r="G42" s="82">
        <v>0</v>
      </c>
      <c r="H42" s="82">
        <v>0</v>
      </c>
    </row>
    <row r="43" spans="1:8" ht="12.75" customHeight="1">
      <c r="A43" s="125" t="str">
        <f>HLOOKUP(INDICE!$F$2,Nombres!$C$3:$E$853,115)</f>
        <v>Other liabilities</v>
      </c>
      <c r="B43" s="204">
        <v>670.88682641589571</v>
      </c>
      <c r="C43" s="82">
        <v>580.01234970661812</v>
      </c>
      <c r="D43" s="82">
        <v>462.83175596378783</v>
      </c>
      <c r="E43" s="205">
        <v>390.65468794547553</v>
      </c>
      <c r="F43" s="82">
        <v>267.75519234980175</v>
      </c>
      <c r="G43" s="82">
        <v>1985.1675652600043</v>
      </c>
      <c r="H43" s="82">
        <v>3141.5747137000953</v>
      </c>
    </row>
    <row r="44" spans="1:8" ht="15" customHeight="1">
      <c r="A44" s="125" t="str">
        <f>HLOOKUP(INDICE!$F$2,Nombres!$C$3:$E$853,116)</f>
        <v>Economic capital allocated</v>
      </c>
      <c r="B44" s="204">
        <v>9247.1190940000015</v>
      </c>
      <c r="C44" s="82">
        <v>9012.8428700000004</v>
      </c>
      <c r="D44" s="82">
        <v>8898.4100328700006</v>
      </c>
      <c r="E44" s="205">
        <v>8919.6851013399992</v>
      </c>
      <c r="F44" s="82">
        <v>8991.1580000000085</v>
      </c>
      <c r="G44" s="82">
        <v>8043.0070399999986</v>
      </c>
      <c r="H44" s="82">
        <v>7970.9760445300008</v>
      </c>
    </row>
    <row r="45" spans="1:8" ht="15" customHeight="1">
      <c r="A45" s="125"/>
      <c r="B45" s="69"/>
      <c r="C45" s="82"/>
      <c r="D45" s="82"/>
      <c r="E45" s="82"/>
      <c r="F45" s="82"/>
      <c r="G45" s="82"/>
      <c r="H45" s="82"/>
    </row>
    <row r="46" spans="1:8" ht="18">
      <c r="A46" s="65" t="str">
        <f>HLOOKUP(INDICE!$F$2,Nombres!$C$3:$E$853,117)</f>
        <v>Relevant business indicators</v>
      </c>
      <c r="B46" s="67"/>
      <c r="C46" s="67"/>
      <c r="D46" s="67"/>
      <c r="E46" s="67"/>
      <c r="F46" s="89"/>
      <c r="G46" s="210"/>
      <c r="H46" s="210"/>
    </row>
    <row r="47" spans="1:8" ht="12.75" customHeight="1">
      <c r="A47" s="68" t="str">
        <f>HLOOKUP(INDICE!$F$2,Nombres!$C$3:$E$853,30)</f>
        <v>(Million euros)</v>
      </c>
      <c r="B47" s="72"/>
      <c r="C47" s="72"/>
      <c r="D47" s="72"/>
      <c r="E47" s="72"/>
      <c r="F47" s="84"/>
      <c r="G47" s="212"/>
      <c r="H47" s="212"/>
    </row>
    <row r="48" spans="1:8" ht="15.75">
      <c r="A48" s="72"/>
      <c r="B48" s="59">
        <v>42825</v>
      </c>
      <c r="C48" s="59">
        <v>42916</v>
      </c>
      <c r="D48" s="59">
        <v>43008</v>
      </c>
      <c r="E48" s="59">
        <v>43100</v>
      </c>
      <c r="F48" s="59">
        <v>43190</v>
      </c>
      <c r="G48" s="59">
        <v>43281</v>
      </c>
      <c r="H48" s="59">
        <v>43373</v>
      </c>
    </row>
    <row r="49" spans="1:8">
      <c r="A49" s="125" t="str">
        <f>HLOOKUP(INDICE!$F$2,Nombres!$C$3:$E$853,118)</f>
        <v>Loans and advances to customers (gross) (*)</v>
      </c>
      <c r="B49" s="204">
        <v>178638.20845900002</v>
      </c>
      <c r="C49" s="82">
        <v>179648.66185706991</v>
      </c>
      <c r="D49" s="82">
        <v>177248.67217507001</v>
      </c>
      <c r="E49" s="205">
        <v>177763.89735067001</v>
      </c>
      <c r="F49" s="82">
        <v>173359.32822679999</v>
      </c>
      <c r="G49" s="82">
        <v>175728.35687699998</v>
      </c>
      <c r="H49" s="82">
        <v>173141.16079299993</v>
      </c>
    </row>
    <row r="50" spans="1:8">
      <c r="A50" s="125" t="str">
        <f>HLOOKUP(INDICE!$F$2,Nombres!$C$3:$E$853,121)</f>
        <v>Customer deposits under management (*)</v>
      </c>
      <c r="B50" s="204">
        <v>173529.47438999999</v>
      </c>
      <c r="C50" s="82">
        <v>176225.90000699999</v>
      </c>
      <c r="D50" s="82">
        <v>178703.334168</v>
      </c>
      <c r="E50" s="205">
        <v>174822.30485200009</v>
      </c>
      <c r="F50" s="82">
        <v>169591.96414487998</v>
      </c>
      <c r="G50" s="82">
        <v>174002.55463061002</v>
      </c>
      <c r="H50" s="82">
        <v>174972.27300676002</v>
      </c>
    </row>
    <row r="51" spans="1:8">
      <c r="A51" s="125" t="str">
        <f>HLOOKUP(INDICE!$F$2,Nombres!$C$3:$E$853,122)</f>
        <v>Mutual funds</v>
      </c>
      <c r="B51" s="204">
        <v>34042.876325999998</v>
      </c>
      <c r="C51" s="82">
        <v>35322.253790000002</v>
      </c>
      <c r="D51" s="82">
        <v>36287.618932000012</v>
      </c>
      <c r="E51" s="205">
        <v>37991.564703999997</v>
      </c>
      <c r="F51" s="82">
        <v>39206.639999999999</v>
      </c>
      <c r="G51" s="82">
        <v>40083.74</v>
      </c>
      <c r="H51" s="82">
        <v>40381.0110183</v>
      </c>
    </row>
    <row r="52" spans="1:8">
      <c r="A52" s="125" t="str">
        <f>HLOOKUP(INDICE!$F$2,Nombres!$C$3:$E$853,206)</f>
        <v>Pension funds</v>
      </c>
      <c r="B52" s="204">
        <v>23399.909155000001</v>
      </c>
      <c r="C52" s="82">
        <v>23522.369809</v>
      </c>
      <c r="D52" s="82">
        <v>23722.259066999999</v>
      </c>
      <c r="E52" s="205">
        <v>24022.345926999998</v>
      </c>
      <c r="F52" s="82">
        <v>23808.487000000001</v>
      </c>
      <c r="G52" s="82">
        <v>23757.714</v>
      </c>
      <c r="H52" s="82">
        <v>23731.723999999998</v>
      </c>
    </row>
    <row r="53" spans="1:8">
      <c r="A53" s="125" t="str">
        <f>HLOOKUP(INDICE!$F$2,Nombres!$C$3:$E$853,308)</f>
        <v>Other off balance-sheet funds</v>
      </c>
      <c r="B53" s="204">
        <v>49.181851000000002</v>
      </c>
      <c r="C53" s="82">
        <v>46.714078999999998</v>
      </c>
      <c r="D53" s="82">
        <v>39.621164</v>
      </c>
      <c r="E53" s="205">
        <v>39.903624000000001</v>
      </c>
      <c r="F53" s="82">
        <v>32.504838999999997</v>
      </c>
      <c r="G53" s="82">
        <v>32.342987999999998</v>
      </c>
      <c r="H53" s="82">
        <v>37.326214</v>
      </c>
    </row>
    <row r="54" spans="1:8" ht="21.75" customHeight="1">
      <c r="A54" s="260" t="str">
        <f>HLOOKUP(INDICE!$F$2,Nombres!$C$3:$E$853,307)</f>
        <v xml:space="preserve">(*) Excluding repos. </v>
      </c>
      <c r="B54" s="69"/>
      <c r="C54" s="82"/>
      <c r="D54" s="82"/>
      <c r="E54" s="82"/>
      <c r="F54" s="82"/>
      <c r="G54" s="82"/>
      <c r="H54" s="82"/>
    </row>
    <row r="55" spans="1:8">
      <c r="A55" s="260" t="str">
        <f>HLOOKUP(INDICE!$F$2,Nombres!$C$3:$E$853,285)</f>
        <v xml:space="preserve"> </v>
      </c>
      <c r="B55" s="72"/>
      <c r="C55" s="72"/>
      <c r="D55" s="72"/>
      <c r="E55" s="72"/>
      <c r="F55" s="72"/>
      <c r="G55" s="72"/>
      <c r="H55" s="72"/>
    </row>
    <row r="56" spans="1:8">
      <c r="A56" s="72"/>
      <c r="B56" s="72"/>
      <c r="C56" s="72"/>
      <c r="D56" s="72"/>
      <c r="E56" s="72"/>
      <c r="F56" s="72"/>
      <c r="G56" s="72"/>
      <c r="H56" s="72"/>
    </row>
    <row r="57" spans="1:8">
      <c r="A57" s="72"/>
      <c r="B57" s="72"/>
      <c r="C57" s="72"/>
      <c r="D57" s="72"/>
      <c r="E57" s="72"/>
      <c r="F57" s="72"/>
      <c r="G57" s="72"/>
      <c r="H57" s="72"/>
    </row>
    <row r="58" spans="1:8">
      <c r="A58"/>
      <c r="C58"/>
      <c r="D58"/>
      <c r="E58"/>
    </row>
    <row r="59" spans="1:8">
      <c r="A59"/>
      <c r="C59"/>
      <c r="D59"/>
      <c r="E59"/>
    </row>
    <row r="60" spans="1:8">
      <c r="A60"/>
      <c r="C60"/>
      <c r="D60"/>
      <c r="E60"/>
    </row>
    <row r="61" spans="1:8">
      <c r="A61"/>
      <c r="C61"/>
      <c r="D61"/>
      <c r="E61"/>
    </row>
    <row r="62" spans="1:8" ht="17.25" customHeight="1">
      <c r="A62"/>
      <c r="C62"/>
      <c r="D62"/>
      <c r="E62"/>
    </row>
    <row r="63" spans="1:8" ht="15.75" customHeight="1">
      <c r="A63"/>
      <c r="C63"/>
      <c r="D63"/>
      <c r="E63"/>
    </row>
    <row r="64" spans="1:8">
      <c r="A64"/>
      <c r="C64"/>
      <c r="D64"/>
      <c r="E64"/>
    </row>
    <row r="65" spans="1:5">
      <c r="A65"/>
      <c r="C65"/>
      <c r="D65"/>
      <c r="E65"/>
    </row>
    <row r="66" spans="1:5">
      <c r="A66"/>
      <c r="C66"/>
      <c r="D66"/>
      <c r="E66"/>
    </row>
    <row r="67" spans="1:5">
      <c r="A67"/>
      <c r="C67"/>
      <c r="D67"/>
      <c r="E67"/>
    </row>
    <row r="68" spans="1:5" ht="13.5" customHeight="1">
      <c r="A68"/>
      <c r="C68"/>
      <c r="D68"/>
      <c r="E68"/>
    </row>
    <row r="69" spans="1:5" ht="14.25" customHeight="1">
      <c r="A69"/>
      <c r="C69"/>
      <c r="D69"/>
      <c r="E69"/>
    </row>
    <row r="70" spans="1:5">
      <c r="A70"/>
      <c r="C70"/>
      <c r="D70"/>
      <c r="E70"/>
    </row>
    <row r="71" spans="1:5" ht="16.5" customHeight="1">
      <c r="A71"/>
      <c r="C71"/>
      <c r="D71"/>
      <c r="E71"/>
    </row>
    <row r="72" spans="1:5" ht="12.75" customHeight="1">
      <c r="A72"/>
      <c r="C72"/>
      <c r="D72"/>
      <c r="E72"/>
    </row>
    <row r="73" spans="1:5" ht="13.5" customHeight="1">
      <c r="A73"/>
      <c r="C73"/>
      <c r="D73"/>
      <c r="E73"/>
    </row>
    <row r="74" spans="1:5" ht="12.75" customHeight="1">
      <c r="A74"/>
      <c r="C74"/>
      <c r="D74"/>
      <c r="E74"/>
    </row>
    <row r="75" spans="1:5" ht="12.75" customHeight="1">
      <c r="A75"/>
      <c r="C75"/>
      <c r="D75"/>
      <c r="E75"/>
    </row>
    <row r="76" spans="1:5" ht="15" customHeight="1">
      <c r="A76"/>
      <c r="C76"/>
      <c r="D76"/>
      <c r="E76"/>
    </row>
    <row r="77" spans="1:5" ht="15.75" customHeight="1">
      <c r="A77"/>
      <c r="C77"/>
      <c r="D77"/>
      <c r="E77"/>
    </row>
    <row r="78" spans="1:5">
      <c r="A78"/>
      <c r="C78"/>
      <c r="D78"/>
      <c r="E78"/>
    </row>
    <row r="79" spans="1:5">
      <c r="A79"/>
      <c r="C79"/>
      <c r="D79"/>
      <c r="E79"/>
    </row>
    <row r="80" spans="1:5">
      <c r="A80"/>
      <c r="C80"/>
      <c r="D80"/>
      <c r="E80"/>
    </row>
    <row r="81" spans="1:5">
      <c r="A81"/>
      <c r="C81"/>
      <c r="D81"/>
      <c r="E81"/>
    </row>
    <row r="82" spans="1:5">
      <c r="A82"/>
      <c r="C82"/>
      <c r="D82"/>
      <c r="E82"/>
    </row>
    <row r="83" spans="1:5">
      <c r="A83"/>
      <c r="C83"/>
      <c r="D83"/>
      <c r="E83"/>
    </row>
    <row r="84" spans="1:5">
      <c r="A84"/>
      <c r="C84"/>
      <c r="D84"/>
      <c r="E84"/>
    </row>
    <row r="85" spans="1:5">
      <c r="A85"/>
      <c r="C85"/>
      <c r="D85"/>
      <c r="E85"/>
    </row>
    <row r="86" spans="1:5">
      <c r="A86"/>
      <c r="C86"/>
      <c r="D86"/>
      <c r="E86"/>
    </row>
    <row r="87" spans="1:5">
      <c r="A87"/>
      <c r="C87"/>
      <c r="D87"/>
      <c r="E87"/>
    </row>
    <row r="88" spans="1:5">
      <c r="A88"/>
      <c r="C88"/>
      <c r="D88"/>
      <c r="E88"/>
    </row>
    <row r="89" spans="1:5">
      <c r="A89"/>
      <c r="C89"/>
      <c r="D89"/>
      <c r="E89"/>
    </row>
    <row r="90" spans="1:5">
      <c r="A90"/>
      <c r="C90"/>
      <c r="D90"/>
      <c r="E90"/>
    </row>
    <row r="91" spans="1:5">
      <c r="A91"/>
      <c r="C91"/>
      <c r="D91"/>
      <c r="E91"/>
    </row>
    <row r="92" spans="1:5">
      <c r="A92"/>
      <c r="C92"/>
      <c r="D92"/>
      <c r="E92"/>
    </row>
    <row r="93" spans="1:5">
      <c r="A93"/>
      <c r="C93"/>
      <c r="D93"/>
      <c r="E93"/>
    </row>
    <row r="94" spans="1:5">
      <c r="A94"/>
      <c r="C94"/>
      <c r="D94"/>
      <c r="E94"/>
    </row>
    <row r="95" spans="1:5">
      <c r="A95"/>
      <c r="C95"/>
      <c r="D95"/>
      <c r="E95"/>
    </row>
    <row r="96" spans="1:5" ht="12" customHeight="1">
      <c r="A96"/>
      <c r="C96"/>
      <c r="D96"/>
      <c r="E96"/>
    </row>
    <row r="97" spans="1:5" ht="12" customHeight="1">
      <c r="A97"/>
      <c r="C97"/>
      <c r="D97"/>
      <c r="E97"/>
    </row>
    <row r="98" spans="1:5">
      <c r="A98"/>
      <c r="C98"/>
      <c r="D98"/>
      <c r="E98"/>
    </row>
    <row r="99" spans="1:5" ht="12" customHeight="1">
      <c r="A99"/>
      <c r="C99"/>
      <c r="D99"/>
      <c r="E99"/>
    </row>
    <row r="100" spans="1:5" ht="11.25" customHeight="1">
      <c r="A100"/>
      <c r="C100"/>
      <c r="D100"/>
      <c r="E100"/>
    </row>
    <row r="101" spans="1:5">
      <c r="A101"/>
      <c r="C101"/>
      <c r="D101"/>
      <c r="E101"/>
    </row>
    <row r="102" spans="1:5">
      <c r="A102"/>
      <c r="C102"/>
      <c r="D102"/>
      <c r="E102"/>
    </row>
    <row r="103" spans="1:5">
      <c r="A103"/>
      <c r="C103"/>
      <c r="D103"/>
      <c r="E103"/>
    </row>
    <row r="104" spans="1:5">
      <c r="A104"/>
      <c r="C104"/>
      <c r="D104"/>
      <c r="E104"/>
    </row>
    <row r="105" spans="1:5">
      <c r="A105"/>
      <c r="C105"/>
      <c r="D105"/>
      <c r="E105"/>
    </row>
    <row r="106" spans="1:5">
      <c r="A106"/>
      <c r="C106"/>
      <c r="D106"/>
      <c r="E106"/>
    </row>
    <row r="107" spans="1:5">
      <c r="A107"/>
      <c r="C107"/>
      <c r="D107"/>
      <c r="E107"/>
    </row>
    <row r="108" spans="1:5">
      <c r="A108"/>
      <c r="C108"/>
      <c r="D108"/>
      <c r="E108"/>
    </row>
  </sheetData>
  <mergeCells count="2">
    <mergeCell ref="B6:E6"/>
    <mergeCell ref="F6:H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zoomScale="85" zoomScaleNormal="85" workbookViewId="0">
      <selection activeCell="G48" sqref="G48"/>
    </sheetView>
  </sheetViews>
  <sheetFormatPr baseColWidth="10" defaultRowHeight="15"/>
  <cols>
    <col min="1" max="1" width="62" style="217" customWidth="1"/>
    <col min="2" max="2" width="10.7109375" customWidth="1"/>
    <col min="3" max="5" width="10.7109375" style="218" customWidth="1"/>
    <col min="6" max="8" width="10.7109375" customWidth="1"/>
    <col min="256" max="256" width="62" customWidth="1"/>
    <col min="257" max="264" width="10.7109375" customWidth="1"/>
    <col min="512" max="512" width="62" customWidth="1"/>
    <col min="513" max="520" width="10.7109375" customWidth="1"/>
    <col min="768" max="768" width="62" customWidth="1"/>
    <col min="769" max="776" width="10.7109375" customWidth="1"/>
    <col min="1024" max="1024" width="62" customWidth="1"/>
    <col min="1025" max="1032" width="10.7109375" customWidth="1"/>
    <col min="1280" max="1280" width="62" customWidth="1"/>
    <col min="1281" max="1288" width="10.7109375" customWidth="1"/>
    <col min="1536" max="1536" width="62" customWidth="1"/>
    <col min="1537" max="1544" width="10.7109375" customWidth="1"/>
    <col min="1792" max="1792" width="62" customWidth="1"/>
    <col min="1793" max="1800" width="10.7109375" customWidth="1"/>
    <col min="2048" max="2048" width="62" customWidth="1"/>
    <col min="2049" max="2056" width="10.7109375" customWidth="1"/>
    <col min="2304" max="2304" width="62" customWidth="1"/>
    <col min="2305" max="2312" width="10.7109375" customWidth="1"/>
    <col min="2560" max="2560" width="62" customWidth="1"/>
    <col min="2561" max="2568" width="10.7109375" customWidth="1"/>
    <col min="2816" max="2816" width="62" customWidth="1"/>
    <col min="2817" max="2824" width="10.7109375" customWidth="1"/>
    <col min="3072" max="3072" width="62" customWidth="1"/>
    <col min="3073" max="3080" width="10.7109375" customWidth="1"/>
    <col min="3328" max="3328" width="62" customWidth="1"/>
    <col min="3329" max="3336" width="10.7109375" customWidth="1"/>
    <col min="3584" max="3584" width="62" customWidth="1"/>
    <col min="3585" max="3592" width="10.7109375" customWidth="1"/>
    <col min="3840" max="3840" width="62" customWidth="1"/>
    <col min="3841" max="3848" width="10.7109375" customWidth="1"/>
    <col min="4096" max="4096" width="62" customWidth="1"/>
    <col min="4097" max="4104" width="10.7109375" customWidth="1"/>
    <col min="4352" max="4352" width="62" customWidth="1"/>
    <col min="4353" max="4360" width="10.7109375" customWidth="1"/>
    <col min="4608" max="4608" width="62" customWidth="1"/>
    <col min="4609" max="4616" width="10.7109375" customWidth="1"/>
    <col min="4864" max="4864" width="62" customWidth="1"/>
    <col min="4865" max="4872" width="10.7109375" customWidth="1"/>
    <col min="5120" max="5120" width="62" customWidth="1"/>
    <col min="5121" max="5128" width="10.7109375" customWidth="1"/>
    <col min="5376" max="5376" width="62" customWidth="1"/>
    <col min="5377" max="5384" width="10.7109375" customWidth="1"/>
    <col min="5632" max="5632" width="62" customWidth="1"/>
    <col min="5633" max="5640" width="10.7109375" customWidth="1"/>
    <col min="5888" max="5888" width="62" customWidth="1"/>
    <col min="5889" max="5896" width="10.7109375" customWidth="1"/>
    <col min="6144" max="6144" width="62" customWidth="1"/>
    <col min="6145" max="6152" width="10.7109375" customWidth="1"/>
    <col min="6400" max="6400" width="62" customWidth="1"/>
    <col min="6401" max="6408" width="10.7109375" customWidth="1"/>
    <col min="6656" max="6656" width="62" customWidth="1"/>
    <col min="6657" max="6664" width="10.7109375" customWidth="1"/>
    <col min="6912" max="6912" width="62" customWidth="1"/>
    <col min="6913" max="6920" width="10.7109375" customWidth="1"/>
    <col min="7168" max="7168" width="62" customWidth="1"/>
    <col min="7169" max="7176" width="10.7109375" customWidth="1"/>
    <col min="7424" max="7424" width="62" customWidth="1"/>
    <col min="7425" max="7432" width="10.7109375" customWidth="1"/>
    <col min="7680" max="7680" width="62" customWidth="1"/>
    <col min="7681" max="7688" width="10.7109375" customWidth="1"/>
    <col min="7936" max="7936" width="62" customWidth="1"/>
    <col min="7937" max="7944" width="10.7109375" customWidth="1"/>
    <col min="8192" max="8192" width="62" customWidth="1"/>
    <col min="8193" max="8200" width="10.7109375" customWidth="1"/>
    <col min="8448" max="8448" width="62" customWidth="1"/>
    <col min="8449" max="8456" width="10.7109375" customWidth="1"/>
    <col min="8704" max="8704" width="62" customWidth="1"/>
    <col min="8705" max="8712" width="10.7109375" customWidth="1"/>
    <col min="8960" max="8960" width="62" customWidth="1"/>
    <col min="8961" max="8968" width="10.7109375" customWidth="1"/>
    <col min="9216" max="9216" width="62" customWidth="1"/>
    <col min="9217" max="9224" width="10.7109375" customWidth="1"/>
    <col min="9472" max="9472" width="62" customWidth="1"/>
    <col min="9473" max="9480" width="10.7109375" customWidth="1"/>
    <col min="9728" max="9728" width="62" customWidth="1"/>
    <col min="9729" max="9736" width="10.7109375" customWidth="1"/>
    <col min="9984" max="9984" width="62" customWidth="1"/>
    <col min="9985" max="9992" width="10.7109375" customWidth="1"/>
    <col min="10240" max="10240" width="62" customWidth="1"/>
    <col min="10241" max="10248" width="10.7109375" customWidth="1"/>
    <col min="10496" max="10496" width="62" customWidth="1"/>
    <col min="10497" max="10504" width="10.7109375" customWidth="1"/>
    <col min="10752" max="10752" width="62" customWidth="1"/>
    <col min="10753" max="10760" width="10.7109375" customWidth="1"/>
    <col min="11008" max="11008" width="62" customWidth="1"/>
    <col min="11009" max="11016" width="10.7109375" customWidth="1"/>
    <col min="11264" max="11264" width="62" customWidth="1"/>
    <col min="11265" max="11272" width="10.7109375" customWidth="1"/>
    <col min="11520" max="11520" width="62" customWidth="1"/>
    <col min="11521" max="11528" width="10.7109375" customWidth="1"/>
    <col min="11776" max="11776" width="62" customWidth="1"/>
    <col min="11777" max="11784" width="10.7109375" customWidth="1"/>
    <col min="12032" max="12032" width="62" customWidth="1"/>
    <col min="12033" max="12040" width="10.7109375" customWidth="1"/>
    <col min="12288" max="12288" width="62" customWidth="1"/>
    <col min="12289" max="12296" width="10.7109375" customWidth="1"/>
    <col min="12544" max="12544" width="62" customWidth="1"/>
    <col min="12545" max="12552" width="10.7109375" customWidth="1"/>
    <col min="12800" max="12800" width="62" customWidth="1"/>
    <col min="12801" max="12808" width="10.7109375" customWidth="1"/>
    <col min="13056" max="13056" width="62" customWidth="1"/>
    <col min="13057" max="13064" width="10.7109375" customWidth="1"/>
    <col min="13312" max="13312" width="62" customWidth="1"/>
    <col min="13313" max="13320" width="10.7109375" customWidth="1"/>
    <col min="13568" max="13568" width="62" customWidth="1"/>
    <col min="13569" max="13576" width="10.7109375" customWidth="1"/>
    <col min="13824" max="13824" width="62" customWidth="1"/>
    <col min="13825" max="13832" width="10.7109375" customWidth="1"/>
    <col min="14080" max="14080" width="62" customWidth="1"/>
    <col min="14081" max="14088" width="10.7109375" customWidth="1"/>
    <col min="14336" max="14336" width="62" customWidth="1"/>
    <col min="14337" max="14344" width="10.7109375" customWidth="1"/>
    <col min="14592" max="14592" width="62" customWidth="1"/>
    <col min="14593" max="14600" width="10.7109375" customWidth="1"/>
    <col min="14848" max="14848" width="62" customWidth="1"/>
    <col min="14849" max="14856" width="10.7109375" customWidth="1"/>
    <col min="15104" max="15104" width="62" customWidth="1"/>
    <col min="15105" max="15112" width="10.7109375" customWidth="1"/>
    <col min="15360" max="15360" width="62" customWidth="1"/>
    <col min="15361" max="15368" width="10.7109375" customWidth="1"/>
    <col min="15616" max="15616" width="62" customWidth="1"/>
    <col min="15617" max="15624" width="10.7109375" customWidth="1"/>
    <col min="15872" max="15872" width="62" customWidth="1"/>
    <col min="15873" max="15880" width="10.7109375" customWidth="1"/>
    <col min="16128" max="16128" width="62" customWidth="1"/>
    <col min="16129" max="16136" width="10.7109375" customWidth="1"/>
  </cols>
  <sheetData>
    <row r="1" spans="1:8" ht="18" customHeight="1">
      <c r="A1" s="197" t="str">
        <f>HLOOKUP(INDICE!$F$2,Nombres!$C$3:$E$853,279)</f>
        <v>Non Core Real Estate</v>
      </c>
      <c r="B1" s="72"/>
      <c r="C1" s="72"/>
      <c r="D1" s="72"/>
      <c r="E1" s="72"/>
      <c r="F1" s="72"/>
      <c r="G1" s="72"/>
      <c r="H1" s="72"/>
    </row>
    <row r="2" spans="1:8" ht="18" customHeight="1">
      <c r="A2" s="201"/>
      <c r="B2" s="201"/>
      <c r="C2" s="72"/>
      <c r="D2" s="200"/>
      <c r="E2" s="200"/>
      <c r="F2" s="72"/>
      <c r="G2" s="72"/>
      <c r="H2" s="72"/>
    </row>
    <row r="3" spans="1:8" ht="18">
      <c r="A3" s="65" t="str">
        <f>HLOOKUP(INDICE!$F$2,Nombres!$C$3:$E$853,93)</f>
        <v xml:space="preserve">Income statement  </v>
      </c>
      <c r="B3" s="258"/>
      <c r="C3" s="67"/>
      <c r="D3" s="199"/>
      <c r="E3" s="199"/>
      <c r="F3" s="67"/>
      <c r="G3" s="67"/>
      <c r="H3" s="67"/>
    </row>
    <row r="4" spans="1:8">
      <c r="A4" s="68" t="str">
        <f>HLOOKUP(INDICE!$F$2,Nombres!$C$3:$E$853,30)</f>
        <v>(Million euros)</v>
      </c>
      <c r="B4" s="201"/>
      <c r="C4" s="72"/>
      <c r="D4" s="200"/>
      <c r="E4" s="200"/>
      <c r="F4" s="72"/>
      <c r="G4" s="72"/>
      <c r="H4" s="72"/>
    </row>
    <row r="5" spans="1:8">
      <c r="A5" s="201"/>
      <c r="B5" s="72"/>
      <c r="C5" s="72"/>
      <c r="D5" s="200"/>
      <c r="E5" s="200"/>
      <c r="F5" s="72"/>
      <c r="G5" s="72"/>
      <c r="H5" s="72"/>
    </row>
    <row r="6" spans="1:8" ht="15.75">
      <c r="A6" s="73"/>
      <c r="B6" s="315">
        <v>2017</v>
      </c>
      <c r="C6" s="316"/>
      <c r="D6" s="316"/>
      <c r="E6" s="316"/>
      <c r="F6" s="315">
        <v>2018</v>
      </c>
      <c r="G6" s="316"/>
      <c r="H6" s="316"/>
    </row>
    <row r="7" spans="1:8" ht="15.75">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row>
    <row r="8" spans="1:8">
      <c r="A8" s="139" t="str">
        <f>HLOOKUP(INDICE!$F$2,Nombres!$C$3:$E$853,38)</f>
        <v>Net interest income</v>
      </c>
      <c r="B8" s="202">
        <v>9.5066664099999976</v>
      </c>
      <c r="C8" s="77">
        <v>21.893075369999998</v>
      </c>
      <c r="D8" s="77">
        <v>16.724112920000003</v>
      </c>
      <c r="E8" s="77">
        <v>23.36422434</v>
      </c>
      <c r="F8" s="202">
        <v>6.8503391300000001</v>
      </c>
      <c r="G8" s="77">
        <v>12.721783959999996</v>
      </c>
      <c r="H8" s="77">
        <v>11.981718630000003</v>
      </c>
    </row>
    <row r="9" spans="1:8">
      <c r="A9" s="125" t="str">
        <f>HLOOKUP(INDICE!$F$2,Nombres!$C$3:$E$853,39)</f>
        <v>Net fees and commissions</v>
      </c>
      <c r="B9" s="259">
        <v>1.6973995300000002</v>
      </c>
      <c r="C9" s="145">
        <v>0.34870608000000042</v>
      </c>
      <c r="D9" s="145">
        <v>0.80801593999999999</v>
      </c>
      <c r="E9" s="145">
        <v>-0.1405930000000003</v>
      </c>
      <c r="F9" s="259">
        <v>0.48782554000000011</v>
      </c>
      <c r="G9" s="82">
        <v>0.17563294999999995</v>
      </c>
      <c r="H9" s="82">
        <v>2.1828373400000003</v>
      </c>
    </row>
    <row r="10" spans="1:8">
      <c r="A10" s="125" t="str">
        <f>HLOOKUP(INDICE!$F$2,Nombres!$C$3:$E$853,40)</f>
        <v>Net trading income</v>
      </c>
      <c r="B10" s="259">
        <v>-6.509999999999988E-4</v>
      </c>
      <c r="C10" s="145">
        <v>7.6310000000000128E-3</v>
      </c>
      <c r="D10" s="145">
        <v>-2.0430000000000004E-2</v>
      </c>
      <c r="E10" s="145">
        <v>0.16635493000000001</v>
      </c>
      <c r="F10" s="259">
        <v>0.65873034999999991</v>
      </c>
      <c r="G10" s="82">
        <v>0.18787507000000006</v>
      </c>
      <c r="H10" s="82">
        <v>4.6873678500000002</v>
      </c>
    </row>
    <row r="11" spans="1:8">
      <c r="A11" s="125" t="str">
        <f>HLOOKUP(INDICE!$F$2,Nombres!$C$3:$E$853,95)</f>
        <v>Other operating income and expenses</v>
      </c>
      <c r="B11" s="202">
        <v>-32.394435000000001</v>
      </c>
      <c r="C11" s="77">
        <v>-7.249595999999995</v>
      </c>
      <c r="D11" s="77">
        <v>-29.530479</v>
      </c>
      <c r="E11" s="77">
        <v>-21.936935000000002</v>
      </c>
      <c r="F11" s="202">
        <v>-11.266641999999997</v>
      </c>
      <c r="G11" s="82">
        <v>-28.440516500000005</v>
      </c>
      <c r="H11" s="82">
        <v>-11.422011999999997</v>
      </c>
    </row>
    <row r="12" spans="1:8">
      <c r="A12" s="139" t="str">
        <f>HLOOKUP(INDICE!$F$2,Nombres!$C$3:$E$853,44)</f>
        <v>Gross income</v>
      </c>
      <c r="B12" s="202">
        <v>-21.19102006</v>
      </c>
      <c r="C12" s="77">
        <v>14.999816450000004</v>
      </c>
      <c r="D12" s="77">
        <v>-12.018780139999986</v>
      </c>
      <c r="E12" s="77">
        <v>1.4530512699999916</v>
      </c>
      <c r="F12" s="202">
        <v>-3.2697469799999919</v>
      </c>
      <c r="G12" s="77">
        <v>-15.355224520000007</v>
      </c>
      <c r="H12" s="77">
        <v>7.4299118200000072</v>
      </c>
    </row>
    <row r="13" spans="1:8">
      <c r="A13" s="125" t="str">
        <f>HLOOKUP(INDICE!$F$2,Nombres!$C$3:$E$853,45)</f>
        <v>Operating expenses</v>
      </c>
      <c r="B13" s="259">
        <v>-25.952287680000005</v>
      </c>
      <c r="C13" s="145">
        <v>-23.375932999999989</v>
      </c>
      <c r="D13" s="145">
        <v>-24.629247000000007</v>
      </c>
      <c r="E13" s="145">
        <v>-24.791023999999982</v>
      </c>
      <c r="F13" s="259">
        <v>-20.470619780000003</v>
      </c>
      <c r="G13" s="82">
        <v>-18.963937609999999</v>
      </c>
      <c r="H13" s="82">
        <v>-18.68073858</v>
      </c>
    </row>
    <row r="14" spans="1:8">
      <c r="A14" s="125" t="str">
        <f>HLOOKUP(INDICE!$F$2,Nombres!$C$3:$E$853,46)</f>
        <v xml:space="preserve">  Administration expenses</v>
      </c>
      <c r="B14" s="259">
        <v>-19.407764680000003</v>
      </c>
      <c r="C14" s="145">
        <v>-20.202631999999994</v>
      </c>
      <c r="D14" s="145">
        <v>-20.538191000000008</v>
      </c>
      <c r="E14" s="145">
        <v>-20.515740999999984</v>
      </c>
      <c r="F14" s="259">
        <v>-18.654176780000004</v>
      </c>
      <c r="G14" s="82">
        <v>-19.430692610000001</v>
      </c>
      <c r="H14" s="82">
        <v>-17.32253558</v>
      </c>
    </row>
    <row r="15" spans="1:8">
      <c r="A15" s="141" t="str">
        <f>HLOOKUP(INDICE!$F$2,Nombres!$C$3:$E$853,47)</f>
        <v xml:space="preserve">  Personnel expenses</v>
      </c>
      <c r="B15" s="259">
        <v>-12.327018478472173</v>
      </c>
      <c r="C15" s="145">
        <v>-12.77909747847216</v>
      </c>
      <c r="D15" s="145">
        <v>-12.545871478472183</v>
      </c>
      <c r="E15" s="145">
        <v>-12.911915478472153</v>
      </c>
      <c r="F15" s="259">
        <v>-12.55809494</v>
      </c>
      <c r="G15" s="82">
        <v>-12.367879840000001</v>
      </c>
      <c r="H15" s="82">
        <v>-11.476280620000001</v>
      </c>
    </row>
    <row r="16" spans="1:8">
      <c r="A16" s="141" t="str">
        <f>HLOOKUP(INDICE!$F$2,Nombres!$C$3:$E$853,48)</f>
        <v xml:space="preserve">  General and administrative expenses</v>
      </c>
      <c r="B16" s="259">
        <v>-7.0807462015278286</v>
      </c>
      <c r="C16" s="145">
        <v>-7.4235345215278326</v>
      </c>
      <c r="D16" s="145">
        <v>-7.9923195215278255</v>
      </c>
      <c r="E16" s="145">
        <v>-7.6038255215278348</v>
      </c>
      <c r="F16" s="259">
        <v>-6.0960818400000001</v>
      </c>
      <c r="G16" s="82">
        <v>-7.062812769999999</v>
      </c>
      <c r="H16" s="82">
        <v>-5.8462549599999996</v>
      </c>
    </row>
    <row r="17" spans="1:8" ht="13.5" customHeight="1">
      <c r="A17" s="125" t="str">
        <f>HLOOKUP(INDICE!$F$2,Nombres!$C$3:$E$853,49)</f>
        <v xml:space="preserve">  Depreciation</v>
      </c>
      <c r="B17" s="259">
        <v>-6.5445229999999999</v>
      </c>
      <c r="C17" s="145">
        <v>-3.1733009999999999</v>
      </c>
      <c r="D17" s="145">
        <v>-4.091056</v>
      </c>
      <c r="E17" s="145">
        <v>-4.2752830000000008</v>
      </c>
      <c r="F17" s="259">
        <v>-1.8164430000000003</v>
      </c>
      <c r="G17" s="82">
        <v>0.46675499999999981</v>
      </c>
      <c r="H17" s="82">
        <v>-1.3582029999999998</v>
      </c>
    </row>
    <row r="18" spans="1:8" ht="12.75" customHeight="1">
      <c r="A18" s="139" t="str">
        <f>HLOOKUP(INDICE!$F$2,Nombres!$C$3:$E$853,50)</f>
        <v>Operating income</v>
      </c>
      <c r="B18" s="202">
        <v>-47.143307740000026</v>
      </c>
      <c r="C18" s="77">
        <v>-8.3761165499999812</v>
      </c>
      <c r="D18" s="77">
        <v>-36.648027139999996</v>
      </c>
      <c r="E18" s="77">
        <v>-23.33797272999999</v>
      </c>
      <c r="F18" s="202">
        <v>-23.740366759999997</v>
      </c>
      <c r="G18" s="77">
        <v>-34.319162130000009</v>
      </c>
      <c r="H18" s="77">
        <v>-11.250826759999986</v>
      </c>
    </row>
    <row r="19" spans="1:8" ht="13.5" customHeight="1">
      <c r="A19" s="125" t="str">
        <f>HLOOKUP(INDICE!$F$2,Nombres!$C$3:$E$853,51)</f>
        <v>Impaiment on financial assets not measured at fair value through profit or loss</v>
      </c>
      <c r="B19" s="259">
        <v>-3.9918406999999965</v>
      </c>
      <c r="C19" s="145">
        <v>-85.243736100000007</v>
      </c>
      <c r="D19" s="145">
        <v>-36.79473989000001</v>
      </c>
      <c r="E19" s="145">
        <v>-12.352311470000002</v>
      </c>
      <c r="F19" s="259">
        <v>-54.754413739999997</v>
      </c>
      <c r="G19" s="82">
        <v>15.944327649999998</v>
      </c>
      <c r="H19" s="82">
        <v>32.720798939999995</v>
      </c>
    </row>
    <row r="20" spans="1:8" ht="13.5" customHeight="1">
      <c r="A20" s="125" t="str">
        <f>HLOOKUP(INDICE!$F$2,Nombres!$C$3:$E$853,160)</f>
        <v>Provisions or reversal of provisions and other results</v>
      </c>
      <c r="B20" s="259">
        <v>-86.031733730000013</v>
      </c>
      <c r="C20" s="145">
        <v>-2.449907000000012</v>
      </c>
      <c r="D20" s="145">
        <v>-42.62015430999999</v>
      </c>
      <c r="E20" s="145">
        <v>-271.40457024</v>
      </c>
      <c r="F20" s="259">
        <v>46.870596959999993</v>
      </c>
      <c r="G20" s="82">
        <v>8.7071427099999994</v>
      </c>
      <c r="H20" s="82">
        <v>-55.245100950000008</v>
      </c>
    </row>
    <row r="21" spans="1:8" ht="12.75" customHeight="1">
      <c r="A21" s="139" t="str">
        <f>HLOOKUP(INDICE!$F$2,Nombres!$C$3:$E$853,54)</f>
        <v>Profit/(loss) before tax</v>
      </c>
      <c r="B21" s="202">
        <v>-137.16688217000001</v>
      </c>
      <c r="C21" s="77">
        <v>-96.069759650000009</v>
      </c>
      <c r="D21" s="77">
        <v>-116.06292133999997</v>
      </c>
      <c r="E21" s="77">
        <v>-307.09485443999995</v>
      </c>
      <c r="F21" s="202">
        <v>-31.624183539999986</v>
      </c>
      <c r="G21" s="77">
        <v>-9.6676917700000082</v>
      </c>
      <c r="H21" s="77">
        <v>-33.775128769999966</v>
      </c>
    </row>
    <row r="22" spans="1:8" ht="13.5" customHeight="1">
      <c r="A22" s="125" t="str">
        <f>HLOOKUP(INDICE!$F$2,Nombres!$C$3:$E$853,55)</f>
        <v>Income tax</v>
      </c>
      <c r="B22" s="259">
        <v>31.44813554000001</v>
      </c>
      <c r="C22" s="145">
        <v>15.391033639999998</v>
      </c>
      <c r="D22" s="145">
        <v>27.980568780000006</v>
      </c>
      <c r="E22" s="145">
        <v>90.793232790000005</v>
      </c>
      <c r="F22" s="259">
        <v>5.0977195700000024</v>
      </c>
      <c r="G22" s="82">
        <v>0.51309044999999653</v>
      </c>
      <c r="H22" s="82">
        <v>9.3045892699999975</v>
      </c>
    </row>
    <row r="23" spans="1:8" ht="13.5" customHeight="1">
      <c r="A23" s="139" t="str">
        <f>HLOOKUP(INDICE!$F$2,Nombres!$C$3:$E$853,56)</f>
        <v>Profit/(loss) for the year</v>
      </c>
      <c r="B23" s="202">
        <v>-105.71874663000001</v>
      </c>
      <c r="C23" s="77">
        <v>-80.678726009999991</v>
      </c>
      <c r="D23" s="77">
        <v>-88.08235255999999</v>
      </c>
      <c r="E23" s="77">
        <v>-216.30162164999996</v>
      </c>
      <c r="F23" s="202">
        <v>-26.526463969999995</v>
      </c>
      <c r="G23" s="77">
        <v>-9.1546013200000083</v>
      </c>
      <c r="H23" s="77">
        <v>-24.470539499999965</v>
      </c>
    </row>
    <row r="24" spans="1:8" ht="12" customHeight="1">
      <c r="A24" s="125" t="str">
        <f>HLOOKUP(INDICE!$F$2,Nombres!$C$3:$E$853,57)</f>
        <v>Non-controlling interests</v>
      </c>
      <c r="B24" s="259">
        <v>-0.436</v>
      </c>
      <c r="C24" s="145">
        <v>1.2209999999999999</v>
      </c>
      <c r="D24" s="145">
        <v>0.16499999999999998</v>
      </c>
      <c r="E24" s="145">
        <v>1.4E-2</v>
      </c>
      <c r="F24" s="259">
        <v>-3.8000000000000006E-2</v>
      </c>
      <c r="G24" s="82">
        <v>1.7000000000000001E-2</v>
      </c>
      <c r="H24" s="82">
        <v>-1.8000000000000002E-2</v>
      </c>
    </row>
    <row r="25" spans="1:8" ht="14.25" customHeight="1">
      <c r="A25" s="206" t="str">
        <f>HLOOKUP(INDICE!$F$2,Nombres!$C$3:$E$853,58)</f>
        <v>Net attributable profit</v>
      </c>
      <c r="B25" s="208">
        <v>-106.15474663000001</v>
      </c>
      <c r="C25" s="208">
        <v>-79.457726010000002</v>
      </c>
      <c r="D25" s="208">
        <v>-87.917352560000012</v>
      </c>
      <c r="E25" s="208">
        <v>-216.28762164999992</v>
      </c>
      <c r="F25" s="208">
        <v>-26.564463969999988</v>
      </c>
      <c r="G25" s="208">
        <v>-9.1376013200000088</v>
      </c>
      <c r="H25" s="208">
        <v>-24.488539499999959</v>
      </c>
    </row>
    <row r="26" spans="1:8" ht="14.25" customHeight="1">
      <c r="A26" s="72"/>
      <c r="B26" s="72"/>
      <c r="C26" s="72"/>
      <c r="D26" s="72"/>
      <c r="E26" s="72"/>
      <c r="F26" s="72"/>
      <c r="G26" s="72"/>
      <c r="H26" s="72"/>
    </row>
    <row r="27" spans="1:8" ht="18" customHeight="1">
      <c r="A27" s="65" t="str">
        <f>HLOOKUP(INDICE!$F$2,Nombres!$C$3:$E$853,94)</f>
        <v>Balance sheets</v>
      </c>
      <c r="B27" s="67"/>
      <c r="C27" s="67"/>
      <c r="D27" s="67"/>
      <c r="E27" s="67"/>
      <c r="F27" s="89"/>
      <c r="G27" s="210"/>
      <c r="H27" s="210"/>
    </row>
    <row r="28" spans="1:8" ht="12.75" customHeight="1">
      <c r="A28" s="68" t="str">
        <f>HLOOKUP(INDICE!$F$2,Nombres!$C$3:$E$853,30)</f>
        <v>(Million euros)</v>
      </c>
      <c r="B28" s="72"/>
      <c r="C28" s="211"/>
      <c r="D28" s="211"/>
      <c r="E28" s="211"/>
      <c r="F28" s="84"/>
      <c r="G28" s="212"/>
      <c r="H28" s="212"/>
    </row>
    <row r="29" spans="1:8" ht="13.5" customHeight="1">
      <c r="A29" s="72"/>
      <c r="B29" s="59">
        <v>42825</v>
      </c>
      <c r="C29" s="59">
        <v>42916</v>
      </c>
      <c r="D29" s="59">
        <v>43008</v>
      </c>
      <c r="E29" s="59">
        <v>43100</v>
      </c>
      <c r="F29" s="59">
        <v>43190</v>
      </c>
      <c r="G29" s="59">
        <v>43281</v>
      </c>
      <c r="H29" s="59">
        <v>43373</v>
      </c>
    </row>
    <row r="30" spans="1:8">
      <c r="A30" s="125" t="str">
        <f>HLOOKUP(INDICE!$F$2,Nombres!$C$3:$E$853,100)</f>
        <v>Cash, cash balances at central banks and other demand deposits</v>
      </c>
      <c r="B30" s="204">
        <v>9.8374929999999079</v>
      </c>
      <c r="C30" s="82">
        <v>12.096335000000041</v>
      </c>
      <c r="D30" s="82">
        <v>12.182717</v>
      </c>
      <c r="E30" s="82">
        <v>11.896508000000029</v>
      </c>
      <c r="F30" s="204">
        <v>10.22977399999999</v>
      </c>
      <c r="G30" s="82">
        <v>9.0238319999999348</v>
      </c>
      <c r="H30" s="82">
        <v>15.01483199999992</v>
      </c>
    </row>
    <row r="31" spans="1:8">
      <c r="A31" s="125" t="str">
        <f>HLOOKUP(INDICE!$F$2,Nombres!$C$3:$E$853,101)</f>
        <v xml:space="preserve">Financial assets designated at fair value </v>
      </c>
      <c r="B31" s="204">
        <v>15.109707049999999</v>
      </c>
      <c r="C31" s="82">
        <v>16.1441798</v>
      </c>
      <c r="D31" s="82">
        <v>15.68888615</v>
      </c>
      <c r="E31" s="82">
        <v>9.1957169800000003</v>
      </c>
      <c r="F31" s="204">
        <v>1648.88288633</v>
      </c>
      <c r="G31" s="82">
        <v>1294.8023044499998</v>
      </c>
      <c r="H31" s="82">
        <v>1315.5576735999998</v>
      </c>
    </row>
    <row r="32" spans="1:8">
      <c r="A32" s="125" t="str">
        <f>HLOOKUP(INDICE!$F$2,Nombres!$C$3:$E$853,406)</f>
        <v>Financial assets at amortized cost</v>
      </c>
      <c r="B32" s="204">
        <v>6055.080877360002</v>
      </c>
      <c r="C32" s="82">
        <v>5411.7492651800012</v>
      </c>
      <c r="D32" s="82">
        <v>4886.338072900001</v>
      </c>
      <c r="E32" s="82">
        <v>3520.6695557999992</v>
      </c>
      <c r="F32" s="204">
        <v>1396.4273302100009</v>
      </c>
      <c r="G32" s="82">
        <v>1149.0346671999991</v>
      </c>
      <c r="H32" s="82">
        <v>756.90414553999949</v>
      </c>
    </row>
    <row r="33" spans="1:9">
      <c r="A33" s="125" t="str">
        <f>HLOOKUP(INDICE!$F$2,Nombres!$C$3:$E$853,103)</f>
        <v xml:space="preserve">    of which loans and advances to customers</v>
      </c>
      <c r="B33" s="204">
        <v>6055.080877360002</v>
      </c>
      <c r="C33" s="82">
        <v>5411.7492651800012</v>
      </c>
      <c r="D33" s="82">
        <v>4886.3380729000019</v>
      </c>
      <c r="E33" s="82">
        <v>3520.6695557999997</v>
      </c>
      <c r="F33" s="204">
        <v>1390.9652452100008</v>
      </c>
      <c r="G33" s="82">
        <v>1139.0723431999991</v>
      </c>
      <c r="H33" s="82">
        <v>743.21634253999946</v>
      </c>
    </row>
    <row r="34" spans="1:9">
      <c r="A34" s="125" t="str">
        <f>HLOOKUP(INDICE!$F$2,Nombres!$C$3:$E$853,105)</f>
        <v>Inter-area positions</v>
      </c>
      <c r="B34" s="228">
        <v>0</v>
      </c>
      <c r="C34" s="82">
        <v>0</v>
      </c>
      <c r="D34" s="82">
        <v>0</v>
      </c>
      <c r="E34" s="82">
        <v>0</v>
      </c>
      <c r="F34" s="228">
        <v>0</v>
      </c>
      <c r="G34" s="82">
        <v>0</v>
      </c>
      <c r="H34" s="82">
        <v>0</v>
      </c>
    </row>
    <row r="35" spans="1:9">
      <c r="A35" s="125" t="str">
        <f>HLOOKUP(INDICE!$F$2,Nombres!$C$3:$E$853,106)</f>
        <v>Tangible assets</v>
      </c>
      <c r="B35" s="204">
        <v>431.21833700000002</v>
      </c>
      <c r="C35" s="82">
        <v>349.69219299999997</v>
      </c>
      <c r="D35" s="82">
        <v>352.774475</v>
      </c>
      <c r="E35" s="82">
        <v>8.0105999999999983E-2</v>
      </c>
      <c r="F35" s="204">
        <v>6.3138019999999999</v>
      </c>
      <c r="G35" s="82">
        <v>6.0491440000000001</v>
      </c>
      <c r="H35" s="82">
        <v>19.624223000000001</v>
      </c>
    </row>
    <row r="36" spans="1:9">
      <c r="A36" s="125" t="str">
        <f>HLOOKUP(INDICE!$F$2,Nombres!$C$3:$E$853,107)</f>
        <v>Other assets</v>
      </c>
      <c r="B36" s="204">
        <v>7936.1651682700012</v>
      </c>
      <c r="C36" s="82">
        <v>6701.5250392700009</v>
      </c>
      <c r="D36" s="82">
        <v>6315.7485287700001</v>
      </c>
      <c r="E36" s="82">
        <v>6171.7461314500015</v>
      </c>
      <c r="F36" s="204">
        <v>6124.3687383300012</v>
      </c>
      <c r="G36" s="82">
        <v>5582.4377006100003</v>
      </c>
      <c r="H36" s="82">
        <v>5647.5162060399989</v>
      </c>
    </row>
    <row r="37" spans="1:9">
      <c r="A37" s="206" t="str">
        <f>HLOOKUP(INDICE!$F$2,Nombres!$C$3:$E$853,108)</f>
        <v>Total assets / Liabilities and equity</v>
      </c>
      <c r="B37" s="207">
        <v>14447.411582680004</v>
      </c>
      <c r="C37" s="207">
        <v>12491.207012250001</v>
      </c>
      <c r="D37" s="207">
        <v>11582.732679820001</v>
      </c>
      <c r="E37" s="207">
        <v>9713.5880182300007</v>
      </c>
      <c r="F37" s="207">
        <v>9186.2225308700017</v>
      </c>
      <c r="G37" s="208">
        <v>8041.3476482599999</v>
      </c>
      <c r="H37" s="208">
        <v>7754.6170801799981</v>
      </c>
    </row>
    <row r="38" spans="1:9">
      <c r="A38" s="125" t="str">
        <f>HLOOKUP(INDICE!$F$2,Nombres!$C$3:$E$853,111)</f>
        <v>Financial liabilities held for trading and designated at fair value through profit or loss</v>
      </c>
      <c r="B38" s="204">
        <v>0</v>
      </c>
      <c r="C38" s="82">
        <v>0</v>
      </c>
      <c r="D38" s="82">
        <v>0</v>
      </c>
      <c r="E38" s="82">
        <v>0</v>
      </c>
      <c r="F38" s="204">
        <v>0</v>
      </c>
      <c r="G38" s="82">
        <v>0</v>
      </c>
      <c r="H38" s="82">
        <v>0</v>
      </c>
    </row>
    <row r="39" spans="1:9">
      <c r="A39" s="125" t="str">
        <f>HLOOKUP(INDICE!$F$2,Nombres!$C$3:$E$853,109)</f>
        <v>Deposits from central banks and credit institutions</v>
      </c>
      <c r="B39" s="204">
        <v>0</v>
      </c>
      <c r="C39" s="82">
        <v>0</v>
      </c>
      <c r="D39" s="82">
        <v>0</v>
      </c>
      <c r="E39" s="82">
        <v>2.287947609147523E-12</v>
      </c>
      <c r="F39" s="204">
        <v>102.30600000000101</v>
      </c>
      <c r="G39" s="82">
        <v>96.448774000002544</v>
      </c>
      <c r="H39" s="82">
        <v>36.875998999999851</v>
      </c>
    </row>
    <row r="40" spans="1:9">
      <c r="A40" s="125" t="str">
        <f>HLOOKUP(INDICE!$F$2,Nombres!$C$3:$E$853,110)</f>
        <v>Deposits from customers</v>
      </c>
      <c r="B40" s="204">
        <v>21.84896999999987</v>
      </c>
      <c r="C40" s="82">
        <v>46.791908999999912</v>
      </c>
      <c r="D40" s="82">
        <v>17.434877999999909</v>
      </c>
      <c r="E40" s="82">
        <v>12.663427000000087</v>
      </c>
      <c r="F40" s="204">
        <v>10.21960700000011</v>
      </c>
      <c r="G40" s="82">
        <v>41.609674999999953</v>
      </c>
      <c r="H40" s="82">
        <v>77.103660000000048</v>
      </c>
    </row>
    <row r="41" spans="1:9" ht="13.5" customHeight="1">
      <c r="A41" s="125" t="str">
        <f>HLOOKUP(INDICE!$F$2,Nombres!$C$3:$E$853,112)</f>
        <v>Debt certificates</v>
      </c>
      <c r="B41" s="204">
        <v>821.35439115999975</v>
      </c>
      <c r="C41" s="82">
        <v>791.71992077999982</v>
      </c>
      <c r="D41" s="82">
        <v>794.1003134099999</v>
      </c>
      <c r="E41" s="82">
        <v>785.20561907999991</v>
      </c>
      <c r="F41" s="204">
        <v>750.17575731999989</v>
      </c>
      <c r="G41" s="82">
        <v>501.02468647999996</v>
      </c>
      <c r="H41" s="82">
        <v>465.29295567999998</v>
      </c>
    </row>
    <row r="42" spans="1:9" ht="13.5" customHeight="1">
      <c r="A42" s="125" t="str">
        <f>HLOOKUP(INDICE!$F$2,Nombres!$C$3:$E$853,113)</f>
        <v>Inter-area positions</v>
      </c>
      <c r="B42" s="204">
        <v>10318.787371520002</v>
      </c>
      <c r="C42" s="82">
        <v>8485.8123324700009</v>
      </c>
      <c r="D42" s="82">
        <v>7594.7930929100012</v>
      </c>
      <c r="E42" s="82">
        <v>5774.8933829299986</v>
      </c>
      <c r="F42" s="204">
        <v>5322.8151365500025</v>
      </c>
      <c r="G42" s="82">
        <v>5194.956486889997</v>
      </c>
      <c r="H42" s="82">
        <v>5043.3970654499981</v>
      </c>
    </row>
    <row r="43" spans="1:9">
      <c r="A43" s="125" t="str">
        <f>HLOOKUP(INDICE!$F$2,Nombres!$C$3:$E$853,115)</f>
        <v>Other liabilities</v>
      </c>
      <c r="B43" s="204">
        <v>4.0927261579781771E-12</v>
      </c>
      <c r="C43" s="69">
        <v>0</v>
      </c>
      <c r="D43" s="69">
        <v>0</v>
      </c>
      <c r="E43" s="69">
        <v>0</v>
      </c>
      <c r="F43" s="204">
        <v>0</v>
      </c>
      <c r="G43" s="82">
        <v>203.20727589000035</v>
      </c>
      <c r="H43" s="82">
        <v>270.77378625000051</v>
      </c>
    </row>
    <row r="44" spans="1:9" ht="12.75" customHeight="1">
      <c r="A44" s="125" t="str">
        <f>HLOOKUP(INDICE!$F$2,Nombres!$C$3:$E$853,116)</f>
        <v>Economic capital allocated</v>
      </c>
      <c r="B44" s="204">
        <v>3285.42085</v>
      </c>
      <c r="C44" s="82">
        <v>3166.88285</v>
      </c>
      <c r="D44" s="82">
        <v>3176.4043955000002</v>
      </c>
      <c r="E44" s="82">
        <v>3140.82558922</v>
      </c>
      <c r="F44" s="204">
        <v>3000.7060300000007</v>
      </c>
      <c r="G44" s="82">
        <v>2004.1007500000005</v>
      </c>
      <c r="H44" s="82">
        <v>1861.1736137999999</v>
      </c>
      <c r="I44" s="86"/>
    </row>
    <row r="45" spans="1:9" ht="15" customHeight="1">
      <c r="A45" s="72"/>
      <c r="B45" s="72"/>
      <c r="C45" s="72"/>
      <c r="D45" s="72"/>
      <c r="E45" s="72"/>
      <c r="F45" s="72"/>
      <c r="G45" s="72"/>
      <c r="H45" s="72"/>
    </row>
    <row r="46" spans="1:9" ht="13.5" customHeight="1">
      <c r="A46"/>
      <c r="C46"/>
      <c r="D46"/>
      <c r="E46"/>
    </row>
    <row r="47" spans="1:9" ht="12.75" customHeight="1">
      <c r="A47"/>
      <c r="C47"/>
      <c r="D47"/>
      <c r="E47"/>
    </row>
    <row r="48" spans="1:9" ht="12" customHeight="1">
      <c r="A48"/>
      <c r="C48"/>
      <c r="D48"/>
      <c r="E48"/>
    </row>
    <row r="49" spans="1:5">
      <c r="A49"/>
      <c r="C49"/>
      <c r="D49"/>
      <c r="E49"/>
    </row>
    <row r="50" spans="1:5">
      <c r="A50"/>
      <c r="C50"/>
      <c r="D50"/>
      <c r="E50"/>
    </row>
    <row r="51" spans="1:5">
      <c r="A51"/>
      <c r="C51"/>
      <c r="D51"/>
      <c r="E51"/>
    </row>
    <row r="52" spans="1:5">
      <c r="A52"/>
      <c r="C52"/>
      <c r="D52"/>
      <c r="E52"/>
    </row>
    <row r="53" spans="1:5">
      <c r="A53"/>
      <c r="C53"/>
      <c r="D53"/>
      <c r="E53"/>
    </row>
    <row r="54" spans="1:5">
      <c r="A54"/>
      <c r="C54"/>
      <c r="D54"/>
      <c r="E54"/>
    </row>
    <row r="55" spans="1:5">
      <c r="A55"/>
      <c r="C55"/>
      <c r="D55"/>
      <c r="E55"/>
    </row>
    <row r="56" spans="1:5">
      <c r="A56"/>
      <c r="C56"/>
      <c r="D56"/>
      <c r="E56"/>
    </row>
    <row r="57" spans="1:5">
      <c r="A57"/>
      <c r="C57"/>
      <c r="D57"/>
      <c r="E57"/>
    </row>
    <row r="58" spans="1:5">
      <c r="A58"/>
      <c r="C58"/>
      <c r="D58"/>
      <c r="E58"/>
    </row>
    <row r="59" spans="1:5">
      <c r="A59"/>
      <c r="C59"/>
      <c r="D59"/>
      <c r="E59"/>
    </row>
    <row r="60" spans="1:5">
      <c r="A60"/>
      <c r="C60"/>
      <c r="D60"/>
      <c r="E60"/>
    </row>
    <row r="61" spans="1:5" ht="17.25" customHeight="1">
      <c r="A61"/>
      <c r="C61"/>
      <c r="D61"/>
      <c r="E61"/>
    </row>
    <row r="62" spans="1:5" ht="15.75" customHeight="1">
      <c r="A62"/>
      <c r="C62"/>
      <c r="D62"/>
      <c r="E62"/>
    </row>
    <row r="63" spans="1:5">
      <c r="A63"/>
      <c r="C63"/>
      <c r="D63"/>
      <c r="E63"/>
    </row>
    <row r="64" spans="1:5">
      <c r="A64"/>
      <c r="C64"/>
      <c r="D64"/>
      <c r="E64"/>
    </row>
    <row r="65" spans="1:5">
      <c r="A65"/>
      <c r="C65"/>
      <c r="D65"/>
      <c r="E65"/>
    </row>
    <row r="66" spans="1:5">
      <c r="A66"/>
      <c r="C66"/>
      <c r="D66"/>
      <c r="E66"/>
    </row>
    <row r="67" spans="1:5" ht="13.5" customHeight="1">
      <c r="A67"/>
      <c r="C67"/>
      <c r="D67"/>
      <c r="E67"/>
    </row>
    <row r="68" spans="1:5" ht="14.25" customHeight="1">
      <c r="A68"/>
      <c r="C68"/>
      <c r="D68"/>
      <c r="E68"/>
    </row>
    <row r="69" spans="1:5">
      <c r="A69"/>
      <c r="C69"/>
      <c r="D69"/>
      <c r="E69"/>
    </row>
    <row r="70" spans="1:5" ht="16.5" customHeight="1">
      <c r="A70"/>
      <c r="C70"/>
      <c r="D70"/>
      <c r="E70"/>
    </row>
    <row r="71" spans="1:5" ht="12.75" customHeight="1">
      <c r="A71"/>
      <c r="C71"/>
      <c r="D71"/>
      <c r="E71"/>
    </row>
    <row r="72" spans="1:5" ht="13.5" customHeight="1">
      <c r="A72"/>
      <c r="C72"/>
      <c r="D72"/>
      <c r="E72"/>
    </row>
    <row r="73" spans="1:5" ht="12.75" customHeight="1">
      <c r="A73"/>
      <c r="C73"/>
      <c r="D73"/>
      <c r="E73"/>
    </row>
    <row r="74" spans="1:5" ht="12.75" customHeight="1">
      <c r="A74"/>
      <c r="C74"/>
      <c r="D74"/>
      <c r="E74"/>
    </row>
    <row r="75" spans="1:5" ht="15" customHeight="1">
      <c r="A75"/>
      <c r="C75"/>
      <c r="D75"/>
      <c r="E75"/>
    </row>
    <row r="76" spans="1:5" ht="15.75" customHeight="1">
      <c r="A76"/>
      <c r="C76"/>
      <c r="D76"/>
      <c r="E76"/>
    </row>
    <row r="77" spans="1:5">
      <c r="A77"/>
      <c r="C77"/>
      <c r="D77"/>
      <c r="E77"/>
    </row>
    <row r="78" spans="1:5">
      <c r="A78"/>
      <c r="C78"/>
      <c r="D78"/>
      <c r="E78"/>
    </row>
    <row r="79" spans="1:5">
      <c r="A79"/>
      <c r="C79"/>
      <c r="D79"/>
      <c r="E79"/>
    </row>
    <row r="80" spans="1:5">
      <c r="A80"/>
      <c r="C80"/>
      <c r="D80"/>
      <c r="E80"/>
    </row>
    <row r="81" spans="1:5">
      <c r="A81"/>
      <c r="C81"/>
      <c r="D81"/>
      <c r="E81"/>
    </row>
    <row r="82" spans="1:5">
      <c r="A82"/>
      <c r="C82"/>
      <c r="D82"/>
      <c r="E82"/>
    </row>
    <row r="83" spans="1:5">
      <c r="A83"/>
      <c r="C83"/>
      <c r="D83"/>
      <c r="E83"/>
    </row>
    <row r="84" spans="1:5">
      <c r="A84"/>
      <c r="C84"/>
      <c r="D84"/>
      <c r="E84"/>
    </row>
    <row r="85" spans="1:5">
      <c r="A85"/>
      <c r="C85"/>
      <c r="D85"/>
      <c r="E85"/>
    </row>
    <row r="86" spans="1:5">
      <c r="A86"/>
      <c r="C86"/>
      <c r="D86"/>
      <c r="E86"/>
    </row>
    <row r="87" spans="1:5">
      <c r="A87"/>
      <c r="C87"/>
      <c r="D87"/>
      <c r="E87"/>
    </row>
    <row r="88" spans="1:5">
      <c r="A88"/>
      <c r="C88"/>
      <c r="D88"/>
      <c r="E88"/>
    </row>
    <row r="89" spans="1:5">
      <c r="A89"/>
      <c r="C89"/>
      <c r="D89"/>
      <c r="E89"/>
    </row>
    <row r="90" spans="1:5">
      <c r="A90"/>
      <c r="C90"/>
      <c r="D90"/>
      <c r="E90"/>
    </row>
    <row r="91" spans="1:5">
      <c r="A91"/>
      <c r="C91"/>
      <c r="D91"/>
      <c r="E91"/>
    </row>
    <row r="92" spans="1:5">
      <c r="A92"/>
      <c r="C92"/>
      <c r="D92"/>
      <c r="E92"/>
    </row>
    <row r="93" spans="1:5">
      <c r="A93"/>
      <c r="C93"/>
      <c r="D93"/>
      <c r="E93"/>
    </row>
    <row r="94" spans="1:5">
      <c r="A94"/>
      <c r="C94"/>
      <c r="D94"/>
      <c r="E94"/>
    </row>
    <row r="95" spans="1:5" ht="12" customHeight="1">
      <c r="A95"/>
      <c r="C95"/>
      <c r="D95"/>
      <c r="E95"/>
    </row>
    <row r="96" spans="1:5" ht="12" customHeight="1">
      <c r="A96"/>
      <c r="C96"/>
      <c r="D96"/>
      <c r="E96"/>
    </row>
    <row r="97" spans="1:5">
      <c r="A97"/>
      <c r="C97"/>
      <c r="D97"/>
      <c r="E97"/>
    </row>
    <row r="98" spans="1:5" ht="12" customHeight="1">
      <c r="A98"/>
      <c r="C98"/>
      <c r="D98"/>
      <c r="E98"/>
    </row>
    <row r="99" spans="1:5" ht="11.25" customHeight="1">
      <c r="A99"/>
      <c r="C99"/>
      <c r="D99"/>
      <c r="E99"/>
    </row>
    <row r="100" spans="1:5">
      <c r="A100"/>
      <c r="C100"/>
      <c r="D100"/>
      <c r="E100"/>
    </row>
    <row r="101" spans="1:5">
      <c r="A101"/>
      <c r="C101"/>
      <c r="D101"/>
      <c r="E101"/>
    </row>
    <row r="102" spans="1:5">
      <c r="A102"/>
      <c r="C102"/>
      <c r="D102"/>
      <c r="E102"/>
    </row>
    <row r="103" spans="1:5">
      <c r="A103"/>
      <c r="C103"/>
      <c r="D103"/>
      <c r="E103"/>
    </row>
    <row r="104" spans="1:5">
      <c r="A104"/>
      <c r="C104"/>
      <c r="D104"/>
      <c r="E104"/>
    </row>
    <row r="105" spans="1:5">
      <c r="A105"/>
      <c r="C105"/>
      <c r="D105"/>
      <c r="E105"/>
    </row>
    <row r="106" spans="1:5">
      <c r="A106"/>
      <c r="C106"/>
      <c r="D106"/>
      <c r="E106"/>
    </row>
  </sheetData>
  <mergeCells count="2">
    <mergeCell ref="B6:E6"/>
    <mergeCell ref="F6:H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zoomScale="85" zoomScaleNormal="85" workbookViewId="0"/>
  </sheetViews>
  <sheetFormatPr baseColWidth="10" defaultRowHeight="15"/>
  <cols>
    <col min="1" max="1" width="53.7109375" style="217" customWidth="1"/>
    <col min="2" max="2" width="13.7109375" customWidth="1"/>
    <col min="3" max="5" width="13.7109375" style="218" customWidth="1"/>
    <col min="6" max="6" width="9.140625" style="218" customWidth="1"/>
    <col min="7" max="7" width="9.28515625" bestFit="1" customWidth="1"/>
    <col min="8" max="9" width="9.7109375" bestFit="1" customWidth="1"/>
    <col min="257" max="257" width="53.7109375" customWidth="1"/>
    <col min="258" max="261" width="13.7109375" customWidth="1"/>
    <col min="262" max="262" width="9.140625" customWidth="1"/>
    <col min="263" max="263" width="9.28515625" bestFit="1" customWidth="1"/>
    <col min="264" max="265" width="9.7109375" bestFit="1" customWidth="1"/>
    <col min="513" max="513" width="53.7109375" customWidth="1"/>
    <col min="514" max="517" width="13.7109375" customWidth="1"/>
    <col min="518" max="518" width="9.140625" customWidth="1"/>
    <col min="519" max="519" width="9.28515625" bestFit="1" customWidth="1"/>
    <col min="520" max="521" width="9.7109375" bestFit="1" customWidth="1"/>
    <col min="769" max="769" width="53.7109375" customWidth="1"/>
    <col min="770" max="773" width="13.7109375" customWidth="1"/>
    <col min="774" max="774" width="9.140625" customWidth="1"/>
    <col min="775" max="775" width="9.28515625" bestFit="1" customWidth="1"/>
    <col min="776" max="777" width="9.7109375" bestFit="1" customWidth="1"/>
    <col min="1025" max="1025" width="53.7109375" customWidth="1"/>
    <col min="1026" max="1029" width="13.7109375" customWidth="1"/>
    <col min="1030" max="1030" width="9.140625" customWidth="1"/>
    <col min="1031" max="1031" width="9.28515625" bestFit="1" customWidth="1"/>
    <col min="1032" max="1033" width="9.7109375" bestFit="1" customWidth="1"/>
    <col min="1281" max="1281" width="53.7109375" customWidth="1"/>
    <col min="1282" max="1285" width="13.7109375" customWidth="1"/>
    <col min="1286" max="1286" width="9.140625" customWidth="1"/>
    <col min="1287" max="1287" width="9.28515625" bestFit="1" customWidth="1"/>
    <col min="1288" max="1289" width="9.7109375" bestFit="1" customWidth="1"/>
    <col min="1537" max="1537" width="53.7109375" customWidth="1"/>
    <col min="1538" max="1541" width="13.7109375" customWidth="1"/>
    <col min="1542" max="1542" width="9.140625" customWidth="1"/>
    <col min="1543" max="1543" width="9.28515625" bestFit="1" customWidth="1"/>
    <col min="1544" max="1545" width="9.7109375" bestFit="1" customWidth="1"/>
    <col min="1793" max="1793" width="53.7109375" customWidth="1"/>
    <col min="1794" max="1797" width="13.7109375" customWidth="1"/>
    <col min="1798" max="1798" width="9.140625" customWidth="1"/>
    <col min="1799" max="1799" width="9.28515625" bestFit="1" customWidth="1"/>
    <col min="1800" max="1801" width="9.7109375" bestFit="1" customWidth="1"/>
    <col min="2049" max="2049" width="53.7109375" customWidth="1"/>
    <col min="2050" max="2053" width="13.7109375" customWidth="1"/>
    <col min="2054" max="2054" width="9.140625" customWidth="1"/>
    <col min="2055" max="2055" width="9.28515625" bestFit="1" customWidth="1"/>
    <col min="2056" max="2057" width="9.7109375" bestFit="1" customWidth="1"/>
    <col min="2305" max="2305" width="53.7109375" customWidth="1"/>
    <col min="2306" max="2309" width="13.7109375" customWidth="1"/>
    <col min="2310" max="2310" width="9.140625" customWidth="1"/>
    <col min="2311" max="2311" width="9.28515625" bestFit="1" customWidth="1"/>
    <col min="2312" max="2313" width="9.7109375" bestFit="1" customWidth="1"/>
    <col min="2561" max="2561" width="53.7109375" customWidth="1"/>
    <col min="2562" max="2565" width="13.7109375" customWidth="1"/>
    <col min="2566" max="2566" width="9.140625" customWidth="1"/>
    <col min="2567" max="2567" width="9.28515625" bestFit="1" customWidth="1"/>
    <col min="2568" max="2569" width="9.7109375" bestFit="1" customWidth="1"/>
    <col min="2817" max="2817" width="53.7109375" customWidth="1"/>
    <col min="2818" max="2821" width="13.7109375" customWidth="1"/>
    <col min="2822" max="2822" width="9.140625" customWidth="1"/>
    <col min="2823" max="2823" width="9.28515625" bestFit="1" customWidth="1"/>
    <col min="2824" max="2825" width="9.7109375" bestFit="1" customWidth="1"/>
    <col min="3073" max="3073" width="53.7109375" customWidth="1"/>
    <col min="3074" max="3077" width="13.7109375" customWidth="1"/>
    <col min="3078" max="3078" width="9.140625" customWidth="1"/>
    <col min="3079" max="3079" width="9.28515625" bestFit="1" customWidth="1"/>
    <col min="3080" max="3081" width="9.7109375" bestFit="1" customWidth="1"/>
    <col min="3329" max="3329" width="53.7109375" customWidth="1"/>
    <col min="3330" max="3333" width="13.7109375" customWidth="1"/>
    <col min="3334" max="3334" width="9.140625" customWidth="1"/>
    <col min="3335" max="3335" width="9.28515625" bestFit="1" customWidth="1"/>
    <col min="3336" max="3337" width="9.7109375" bestFit="1" customWidth="1"/>
    <col min="3585" max="3585" width="53.7109375" customWidth="1"/>
    <col min="3586" max="3589" width="13.7109375" customWidth="1"/>
    <col min="3590" max="3590" width="9.140625" customWidth="1"/>
    <col min="3591" max="3591" width="9.28515625" bestFit="1" customWidth="1"/>
    <col min="3592" max="3593" width="9.7109375" bestFit="1" customWidth="1"/>
    <col min="3841" max="3841" width="53.7109375" customWidth="1"/>
    <col min="3842" max="3845" width="13.7109375" customWidth="1"/>
    <col min="3846" max="3846" width="9.140625" customWidth="1"/>
    <col min="3847" max="3847" width="9.28515625" bestFit="1" customWidth="1"/>
    <col min="3848" max="3849" width="9.7109375" bestFit="1" customWidth="1"/>
    <col min="4097" max="4097" width="53.7109375" customWidth="1"/>
    <col min="4098" max="4101" width="13.7109375" customWidth="1"/>
    <col min="4102" max="4102" width="9.140625" customWidth="1"/>
    <col min="4103" max="4103" width="9.28515625" bestFit="1" customWidth="1"/>
    <col min="4104" max="4105" width="9.7109375" bestFit="1" customWidth="1"/>
    <col min="4353" max="4353" width="53.7109375" customWidth="1"/>
    <col min="4354" max="4357" width="13.7109375" customWidth="1"/>
    <col min="4358" max="4358" width="9.140625" customWidth="1"/>
    <col min="4359" max="4359" width="9.28515625" bestFit="1" customWidth="1"/>
    <col min="4360" max="4361" width="9.7109375" bestFit="1" customWidth="1"/>
    <col min="4609" max="4609" width="53.7109375" customWidth="1"/>
    <col min="4610" max="4613" width="13.7109375" customWidth="1"/>
    <col min="4614" max="4614" width="9.140625" customWidth="1"/>
    <col min="4615" max="4615" width="9.28515625" bestFit="1" customWidth="1"/>
    <col min="4616" max="4617" width="9.7109375" bestFit="1" customWidth="1"/>
    <col min="4865" max="4865" width="53.7109375" customWidth="1"/>
    <col min="4866" max="4869" width="13.7109375" customWidth="1"/>
    <col min="4870" max="4870" width="9.140625" customWidth="1"/>
    <col min="4871" max="4871" width="9.28515625" bestFit="1" customWidth="1"/>
    <col min="4872" max="4873" width="9.7109375" bestFit="1" customWidth="1"/>
    <col min="5121" max="5121" width="53.7109375" customWidth="1"/>
    <col min="5122" max="5125" width="13.7109375" customWidth="1"/>
    <col min="5126" max="5126" width="9.140625" customWidth="1"/>
    <col min="5127" max="5127" width="9.28515625" bestFit="1" customWidth="1"/>
    <col min="5128" max="5129" width="9.7109375" bestFit="1" customWidth="1"/>
    <col min="5377" max="5377" width="53.7109375" customWidth="1"/>
    <col min="5378" max="5381" width="13.7109375" customWidth="1"/>
    <col min="5382" max="5382" width="9.140625" customWidth="1"/>
    <col min="5383" max="5383" width="9.28515625" bestFit="1" customWidth="1"/>
    <col min="5384" max="5385" width="9.7109375" bestFit="1" customWidth="1"/>
    <col min="5633" max="5633" width="53.7109375" customWidth="1"/>
    <col min="5634" max="5637" width="13.7109375" customWidth="1"/>
    <col min="5638" max="5638" width="9.140625" customWidth="1"/>
    <col min="5639" max="5639" width="9.28515625" bestFit="1" customWidth="1"/>
    <col min="5640" max="5641" width="9.7109375" bestFit="1" customWidth="1"/>
    <col min="5889" max="5889" width="53.7109375" customWidth="1"/>
    <col min="5890" max="5893" width="13.7109375" customWidth="1"/>
    <col min="5894" max="5894" width="9.140625" customWidth="1"/>
    <col min="5895" max="5895" width="9.28515625" bestFit="1" customWidth="1"/>
    <col min="5896" max="5897" width="9.7109375" bestFit="1" customWidth="1"/>
    <col min="6145" max="6145" width="53.7109375" customWidth="1"/>
    <col min="6146" max="6149" width="13.7109375" customWidth="1"/>
    <col min="6150" max="6150" width="9.140625" customWidth="1"/>
    <col min="6151" max="6151" width="9.28515625" bestFit="1" customWidth="1"/>
    <col min="6152" max="6153" width="9.7109375" bestFit="1" customWidth="1"/>
    <col min="6401" max="6401" width="53.7109375" customWidth="1"/>
    <col min="6402" max="6405" width="13.7109375" customWidth="1"/>
    <col min="6406" max="6406" width="9.140625" customWidth="1"/>
    <col min="6407" max="6407" width="9.28515625" bestFit="1" customWidth="1"/>
    <col min="6408" max="6409" width="9.7109375" bestFit="1" customWidth="1"/>
    <col min="6657" max="6657" width="53.7109375" customWidth="1"/>
    <col min="6658" max="6661" width="13.7109375" customWidth="1"/>
    <col min="6662" max="6662" width="9.140625" customWidth="1"/>
    <col min="6663" max="6663" width="9.28515625" bestFit="1" customWidth="1"/>
    <col min="6664" max="6665" width="9.7109375" bestFit="1" customWidth="1"/>
    <col min="6913" max="6913" width="53.7109375" customWidth="1"/>
    <col min="6914" max="6917" width="13.7109375" customWidth="1"/>
    <col min="6918" max="6918" width="9.140625" customWidth="1"/>
    <col min="6919" max="6919" width="9.28515625" bestFit="1" customWidth="1"/>
    <col min="6920" max="6921" width="9.7109375" bestFit="1" customWidth="1"/>
    <col min="7169" max="7169" width="53.7109375" customWidth="1"/>
    <col min="7170" max="7173" width="13.7109375" customWidth="1"/>
    <col min="7174" max="7174" width="9.140625" customWidth="1"/>
    <col min="7175" max="7175" width="9.28515625" bestFit="1" customWidth="1"/>
    <col min="7176" max="7177" width="9.7109375" bestFit="1" customWidth="1"/>
    <col min="7425" max="7425" width="53.7109375" customWidth="1"/>
    <col min="7426" max="7429" width="13.7109375" customWidth="1"/>
    <col min="7430" max="7430" width="9.140625" customWidth="1"/>
    <col min="7431" max="7431" width="9.28515625" bestFit="1" customWidth="1"/>
    <col min="7432" max="7433" width="9.7109375" bestFit="1" customWidth="1"/>
    <col min="7681" max="7681" width="53.7109375" customWidth="1"/>
    <col min="7682" max="7685" width="13.7109375" customWidth="1"/>
    <col min="7686" max="7686" width="9.140625" customWidth="1"/>
    <col min="7687" max="7687" width="9.28515625" bestFit="1" customWidth="1"/>
    <col min="7688" max="7689" width="9.7109375" bestFit="1" customWidth="1"/>
    <col min="7937" max="7937" width="53.7109375" customWidth="1"/>
    <col min="7938" max="7941" width="13.7109375" customWidth="1"/>
    <col min="7942" max="7942" width="9.140625" customWidth="1"/>
    <col min="7943" max="7943" width="9.28515625" bestFit="1" customWidth="1"/>
    <col min="7944" max="7945" width="9.7109375" bestFit="1" customWidth="1"/>
    <col min="8193" max="8193" width="53.7109375" customWidth="1"/>
    <col min="8194" max="8197" width="13.7109375" customWidth="1"/>
    <col min="8198" max="8198" width="9.140625" customWidth="1"/>
    <col min="8199" max="8199" width="9.28515625" bestFit="1" customWidth="1"/>
    <col min="8200" max="8201" width="9.7109375" bestFit="1" customWidth="1"/>
    <col min="8449" max="8449" width="53.7109375" customWidth="1"/>
    <col min="8450" max="8453" width="13.7109375" customWidth="1"/>
    <col min="8454" max="8454" width="9.140625" customWidth="1"/>
    <col min="8455" max="8455" width="9.28515625" bestFit="1" customWidth="1"/>
    <col min="8456" max="8457" width="9.7109375" bestFit="1" customWidth="1"/>
    <col min="8705" max="8705" width="53.7109375" customWidth="1"/>
    <col min="8706" max="8709" width="13.7109375" customWidth="1"/>
    <col min="8710" max="8710" width="9.140625" customWidth="1"/>
    <col min="8711" max="8711" width="9.28515625" bestFit="1" customWidth="1"/>
    <col min="8712" max="8713" width="9.7109375" bestFit="1" customWidth="1"/>
    <col min="8961" max="8961" width="53.7109375" customWidth="1"/>
    <col min="8962" max="8965" width="13.7109375" customWidth="1"/>
    <col min="8966" max="8966" width="9.140625" customWidth="1"/>
    <col min="8967" max="8967" width="9.28515625" bestFit="1" customWidth="1"/>
    <col min="8968" max="8969" width="9.7109375" bestFit="1" customWidth="1"/>
    <col min="9217" max="9217" width="53.7109375" customWidth="1"/>
    <col min="9218" max="9221" width="13.7109375" customWidth="1"/>
    <col min="9222" max="9222" width="9.140625" customWidth="1"/>
    <col min="9223" max="9223" width="9.28515625" bestFit="1" customWidth="1"/>
    <col min="9224" max="9225" width="9.7109375" bestFit="1" customWidth="1"/>
    <col min="9473" max="9473" width="53.7109375" customWidth="1"/>
    <col min="9474" max="9477" width="13.7109375" customWidth="1"/>
    <col min="9478" max="9478" width="9.140625" customWidth="1"/>
    <col min="9479" max="9479" width="9.28515625" bestFit="1" customWidth="1"/>
    <col min="9480" max="9481" width="9.7109375" bestFit="1" customWidth="1"/>
    <col min="9729" max="9729" width="53.7109375" customWidth="1"/>
    <col min="9730" max="9733" width="13.7109375" customWidth="1"/>
    <col min="9734" max="9734" width="9.140625" customWidth="1"/>
    <col min="9735" max="9735" width="9.28515625" bestFit="1" customWidth="1"/>
    <col min="9736" max="9737" width="9.7109375" bestFit="1" customWidth="1"/>
    <col min="9985" max="9985" width="53.7109375" customWidth="1"/>
    <col min="9986" max="9989" width="13.7109375" customWidth="1"/>
    <col min="9990" max="9990" width="9.140625" customWidth="1"/>
    <col min="9991" max="9991" width="9.28515625" bestFit="1" customWidth="1"/>
    <col min="9992" max="9993" width="9.7109375" bestFit="1" customWidth="1"/>
    <col min="10241" max="10241" width="53.7109375" customWidth="1"/>
    <col min="10242" max="10245" width="13.7109375" customWidth="1"/>
    <col min="10246" max="10246" width="9.140625" customWidth="1"/>
    <col min="10247" max="10247" width="9.28515625" bestFit="1" customWidth="1"/>
    <col min="10248" max="10249" width="9.7109375" bestFit="1" customWidth="1"/>
    <col min="10497" max="10497" width="53.7109375" customWidth="1"/>
    <col min="10498" max="10501" width="13.7109375" customWidth="1"/>
    <col min="10502" max="10502" width="9.140625" customWidth="1"/>
    <col min="10503" max="10503" width="9.28515625" bestFit="1" customWidth="1"/>
    <col min="10504" max="10505" width="9.7109375" bestFit="1" customWidth="1"/>
    <col min="10753" max="10753" width="53.7109375" customWidth="1"/>
    <col min="10754" max="10757" width="13.7109375" customWidth="1"/>
    <col min="10758" max="10758" width="9.140625" customWidth="1"/>
    <col min="10759" max="10759" width="9.28515625" bestFit="1" customWidth="1"/>
    <col min="10760" max="10761" width="9.7109375" bestFit="1" customWidth="1"/>
    <col min="11009" max="11009" width="53.7109375" customWidth="1"/>
    <col min="11010" max="11013" width="13.7109375" customWidth="1"/>
    <col min="11014" max="11014" width="9.140625" customWidth="1"/>
    <col min="11015" max="11015" width="9.28515625" bestFit="1" customWidth="1"/>
    <col min="11016" max="11017" width="9.7109375" bestFit="1" customWidth="1"/>
    <col min="11265" max="11265" width="53.7109375" customWidth="1"/>
    <col min="11266" max="11269" width="13.7109375" customWidth="1"/>
    <col min="11270" max="11270" width="9.140625" customWidth="1"/>
    <col min="11271" max="11271" width="9.28515625" bestFit="1" customWidth="1"/>
    <col min="11272" max="11273" width="9.7109375" bestFit="1" customWidth="1"/>
    <col min="11521" max="11521" width="53.7109375" customWidth="1"/>
    <col min="11522" max="11525" width="13.7109375" customWidth="1"/>
    <col min="11526" max="11526" width="9.140625" customWidth="1"/>
    <col min="11527" max="11527" width="9.28515625" bestFit="1" customWidth="1"/>
    <col min="11528" max="11529" width="9.7109375" bestFit="1" customWidth="1"/>
    <col min="11777" max="11777" width="53.7109375" customWidth="1"/>
    <col min="11778" max="11781" width="13.7109375" customWidth="1"/>
    <col min="11782" max="11782" width="9.140625" customWidth="1"/>
    <col min="11783" max="11783" width="9.28515625" bestFit="1" customWidth="1"/>
    <col min="11784" max="11785" width="9.7109375" bestFit="1" customWidth="1"/>
    <col min="12033" max="12033" width="53.7109375" customWidth="1"/>
    <col min="12034" max="12037" width="13.7109375" customWidth="1"/>
    <col min="12038" max="12038" width="9.140625" customWidth="1"/>
    <col min="12039" max="12039" width="9.28515625" bestFit="1" customWidth="1"/>
    <col min="12040" max="12041" width="9.7109375" bestFit="1" customWidth="1"/>
    <col min="12289" max="12289" width="53.7109375" customWidth="1"/>
    <col min="12290" max="12293" width="13.7109375" customWidth="1"/>
    <col min="12294" max="12294" width="9.140625" customWidth="1"/>
    <col min="12295" max="12295" width="9.28515625" bestFit="1" customWidth="1"/>
    <col min="12296" max="12297" width="9.7109375" bestFit="1" customWidth="1"/>
    <col min="12545" max="12545" width="53.7109375" customWidth="1"/>
    <col min="12546" max="12549" width="13.7109375" customWidth="1"/>
    <col min="12550" max="12550" width="9.140625" customWidth="1"/>
    <col min="12551" max="12551" width="9.28515625" bestFit="1" customWidth="1"/>
    <col min="12552" max="12553" width="9.7109375" bestFit="1" customWidth="1"/>
    <col min="12801" max="12801" width="53.7109375" customWidth="1"/>
    <col min="12802" max="12805" width="13.7109375" customWidth="1"/>
    <col min="12806" max="12806" width="9.140625" customWidth="1"/>
    <col min="12807" max="12807" width="9.28515625" bestFit="1" customWidth="1"/>
    <col min="12808" max="12809" width="9.7109375" bestFit="1" customWidth="1"/>
    <col min="13057" max="13057" width="53.7109375" customWidth="1"/>
    <col min="13058" max="13061" width="13.7109375" customWidth="1"/>
    <col min="13062" max="13062" width="9.140625" customWidth="1"/>
    <col min="13063" max="13063" width="9.28515625" bestFit="1" customWidth="1"/>
    <col min="13064" max="13065" width="9.7109375" bestFit="1" customWidth="1"/>
    <col min="13313" max="13313" width="53.7109375" customWidth="1"/>
    <col min="13314" max="13317" width="13.7109375" customWidth="1"/>
    <col min="13318" max="13318" width="9.140625" customWidth="1"/>
    <col min="13319" max="13319" width="9.28515625" bestFit="1" customWidth="1"/>
    <col min="13320" max="13321" width="9.7109375" bestFit="1" customWidth="1"/>
    <col min="13569" max="13569" width="53.7109375" customWidth="1"/>
    <col min="13570" max="13573" width="13.7109375" customWidth="1"/>
    <col min="13574" max="13574" width="9.140625" customWidth="1"/>
    <col min="13575" max="13575" width="9.28515625" bestFit="1" customWidth="1"/>
    <col min="13576" max="13577" width="9.7109375" bestFit="1" customWidth="1"/>
    <col min="13825" max="13825" width="53.7109375" customWidth="1"/>
    <col min="13826" max="13829" width="13.7109375" customWidth="1"/>
    <col min="13830" max="13830" width="9.140625" customWidth="1"/>
    <col min="13831" max="13831" width="9.28515625" bestFit="1" customWidth="1"/>
    <col min="13832" max="13833" width="9.7109375" bestFit="1" customWidth="1"/>
    <col min="14081" max="14081" width="53.7109375" customWidth="1"/>
    <col min="14082" max="14085" width="13.7109375" customWidth="1"/>
    <col min="14086" max="14086" width="9.140625" customWidth="1"/>
    <col min="14087" max="14087" width="9.28515625" bestFit="1" customWidth="1"/>
    <col min="14088" max="14089" width="9.7109375" bestFit="1" customWidth="1"/>
    <col min="14337" max="14337" width="53.7109375" customWidth="1"/>
    <col min="14338" max="14341" width="13.7109375" customWidth="1"/>
    <col min="14342" max="14342" width="9.140625" customWidth="1"/>
    <col min="14343" max="14343" width="9.28515625" bestFit="1" customWidth="1"/>
    <col min="14344" max="14345" width="9.7109375" bestFit="1" customWidth="1"/>
    <col min="14593" max="14593" width="53.7109375" customWidth="1"/>
    <col min="14594" max="14597" width="13.7109375" customWidth="1"/>
    <col min="14598" max="14598" width="9.140625" customWidth="1"/>
    <col min="14599" max="14599" width="9.28515625" bestFit="1" customWidth="1"/>
    <col min="14600" max="14601" width="9.7109375" bestFit="1" customWidth="1"/>
    <col min="14849" max="14849" width="53.7109375" customWidth="1"/>
    <col min="14850" max="14853" width="13.7109375" customWidth="1"/>
    <col min="14854" max="14854" width="9.140625" customWidth="1"/>
    <col min="14855" max="14855" width="9.28515625" bestFit="1" customWidth="1"/>
    <col min="14856" max="14857" width="9.7109375" bestFit="1" customWidth="1"/>
    <col min="15105" max="15105" width="53.7109375" customWidth="1"/>
    <col min="15106" max="15109" width="13.7109375" customWidth="1"/>
    <col min="15110" max="15110" width="9.140625" customWidth="1"/>
    <col min="15111" max="15111" width="9.28515625" bestFit="1" customWidth="1"/>
    <col min="15112" max="15113" width="9.7109375" bestFit="1" customWidth="1"/>
    <col min="15361" max="15361" width="53.7109375" customWidth="1"/>
    <col min="15362" max="15365" width="13.7109375" customWidth="1"/>
    <col min="15366" max="15366" width="9.140625" customWidth="1"/>
    <col min="15367" max="15367" width="9.28515625" bestFit="1" customWidth="1"/>
    <col min="15368" max="15369" width="9.7109375" bestFit="1" customWidth="1"/>
    <col min="15617" max="15617" width="53.7109375" customWidth="1"/>
    <col min="15618" max="15621" width="13.7109375" customWidth="1"/>
    <col min="15622" max="15622" width="9.140625" customWidth="1"/>
    <col min="15623" max="15623" width="9.28515625" bestFit="1" customWidth="1"/>
    <col min="15624" max="15625" width="9.7109375" bestFit="1" customWidth="1"/>
    <col min="15873" max="15873" width="53.7109375" customWidth="1"/>
    <col min="15874" max="15877" width="13.7109375" customWidth="1"/>
    <col min="15878" max="15878" width="9.140625" customWidth="1"/>
    <col min="15879" max="15879" width="9.28515625" bestFit="1" customWidth="1"/>
    <col min="15880" max="15881" width="9.7109375" bestFit="1" customWidth="1"/>
    <col min="16129" max="16129" width="53.7109375" customWidth="1"/>
    <col min="16130" max="16133" width="13.7109375" customWidth="1"/>
    <col min="16134" max="16134" width="9.140625" customWidth="1"/>
    <col min="16135" max="16135" width="9.28515625" bestFit="1" customWidth="1"/>
    <col min="16136" max="16137" width="9.7109375" bestFit="1" customWidth="1"/>
  </cols>
  <sheetData>
    <row r="1" spans="1:6" ht="18" customHeight="1">
      <c r="A1" s="65" t="str">
        <f>HLOOKUP(INDICE!$F$2,Nombres!$C$3:$E$853,262)</f>
        <v>Coverage of real-estate exposure</v>
      </c>
      <c r="B1" s="67"/>
      <c r="C1" s="67"/>
      <c r="D1" s="67"/>
      <c r="E1" s="67"/>
    </row>
    <row r="2" spans="1:6">
      <c r="A2" s="90" t="str">
        <f>HLOOKUP(INDICE!$F$2,Nombres!$C$3:$E$853,425)</f>
        <v>(Million of euros as of 30-09-18)</v>
      </c>
      <c r="B2" s="247"/>
      <c r="C2" s="247"/>
      <c r="D2" s="247"/>
      <c r="E2" s="247"/>
    </row>
    <row r="3" spans="1:6">
      <c r="A3" s="72"/>
      <c r="B3" s="248"/>
      <c r="C3" s="248"/>
      <c r="D3" s="248"/>
      <c r="E3" s="248"/>
    </row>
    <row r="4" spans="1:6" ht="47.25">
      <c r="A4" s="249"/>
      <c r="B4" s="250" t="str">
        <f>HLOOKUP(INDICE!$F$2,Nombres!$C$3:$E$853,244)</f>
        <v>Gross Value</v>
      </c>
      <c r="C4" s="251" t="str">
        <f>HLOOKUP(INDICE!$F$2,Nombres!$C$3:$E$853,245)</f>
        <v>Provision</v>
      </c>
      <c r="D4" s="251" t="str">
        <f>HLOOKUP(INDICE!$F$2,Nombres!$C$3:$E$853,407)</f>
        <v>Net exposure</v>
      </c>
      <c r="E4" s="251" t="str">
        <f>HLOOKUP(INDICE!$F$2,Nombres!$C$3:$E$853,246)</f>
        <v>% Coverage over risk</v>
      </c>
    </row>
    <row r="5" spans="1:6">
      <c r="A5" s="252" t="str">
        <f>HLOOKUP(INDICE!$F$2,Nombres!$C$3:$E$853,411)</f>
        <v>Real-estate developer loans (1)</v>
      </c>
      <c r="B5" s="77">
        <v>1435.7999999999995</v>
      </c>
      <c r="C5" s="77">
        <v>757.5000000000008</v>
      </c>
      <c r="D5" s="77">
        <v>678.29999999999882</v>
      </c>
      <c r="E5" s="77">
        <f>0.52758044295863*100</f>
        <v>52.758044295863002</v>
      </c>
    </row>
    <row r="6" spans="1:6">
      <c r="A6" s="252" t="str">
        <f>HLOOKUP(INDICE!$F$2,Nombres!$C$3:$E$853,412)</f>
        <v xml:space="preserve">Performing </v>
      </c>
      <c r="B6" s="77">
        <v>246.95999999999998</v>
      </c>
      <c r="C6" s="77">
        <v>32.199999999999996</v>
      </c>
      <c r="D6" s="77">
        <v>214.76000000000002</v>
      </c>
      <c r="E6" s="77">
        <f>0.130385487528345*100</f>
        <v>13.038548752834501</v>
      </c>
    </row>
    <row r="7" spans="1:6">
      <c r="A7" s="81" t="str">
        <f>HLOOKUP(INDICE!$F$2,Nombres!$C$3:$E$853,257)</f>
        <v xml:space="preserve">    Finished properties</v>
      </c>
      <c r="B7" s="69">
        <v>177.00976433999998</v>
      </c>
      <c r="C7" s="69">
        <v>24.115543719999991</v>
      </c>
      <c r="D7" s="69">
        <v>152.89422062</v>
      </c>
      <c r="E7" s="145">
        <v>13.623849401708094</v>
      </c>
    </row>
    <row r="8" spans="1:6">
      <c r="A8" s="81" t="str">
        <f>HLOOKUP(INDICE!$F$2,Nombres!$C$3:$E$853,258)</f>
        <v xml:space="preserve">    Construction in progress</v>
      </c>
      <c r="B8" s="69">
        <v>24.088342390000001</v>
      </c>
      <c r="C8" s="69">
        <v>4.1042525100000002</v>
      </c>
      <c r="D8" s="69">
        <v>19.984089879999999</v>
      </c>
      <c r="E8" s="145">
        <v>17.038335156278055</v>
      </c>
    </row>
    <row r="9" spans="1:6">
      <c r="A9" s="81" t="str">
        <f>HLOOKUP(INDICE!$F$2,Nombres!$C$3:$E$853,259)</f>
        <v xml:space="preserve">    Land</v>
      </c>
      <c r="B9" s="69">
        <v>43.333293179999998</v>
      </c>
      <c r="C9" s="69">
        <v>3.4041355600000012</v>
      </c>
      <c r="D9" s="69">
        <v>39.929157619999998</v>
      </c>
      <c r="E9" s="145">
        <v>7.8557047253707051</v>
      </c>
    </row>
    <row r="10" spans="1:6">
      <c r="A10" s="253" t="str">
        <f>HLOOKUP(INDICE!$F$2,Nombres!$C$3:$E$853,260)</f>
        <v xml:space="preserve">  Without collateral and other</v>
      </c>
      <c r="B10" s="69">
        <v>2.5286000900000003</v>
      </c>
      <c r="C10" s="69">
        <v>0.57606821000000008</v>
      </c>
      <c r="D10" s="69">
        <v>1.9525318800000002</v>
      </c>
      <c r="E10" s="145">
        <v>22.782100351819572</v>
      </c>
    </row>
    <row r="11" spans="1:6">
      <c r="A11" s="252" t="str">
        <f>HLOOKUP(INDICE!$F$2,Nombres!$C$3:$E$853,248)</f>
        <v xml:space="preserve">  NPL</v>
      </c>
      <c r="B11" s="77">
        <v>1188.8399999999995</v>
      </c>
      <c r="C11" s="77">
        <v>725.30000000000075</v>
      </c>
      <c r="D11" s="77">
        <v>463.53999999999883</v>
      </c>
      <c r="E11" s="77">
        <v>61.009050839473865</v>
      </c>
    </row>
    <row r="12" spans="1:6">
      <c r="A12" s="81" t="str">
        <f>HLOOKUP(INDICE!$F$2,Nombres!$C$3:$E$853,257)</f>
        <v xml:space="preserve">    Finished properties</v>
      </c>
      <c r="B12" s="69">
        <v>431.81973099999925</v>
      </c>
      <c r="C12" s="69">
        <v>216.26129068000054</v>
      </c>
      <c r="D12" s="69">
        <v>215.55844031999871</v>
      </c>
      <c r="E12" s="145">
        <v>50.081382381297658</v>
      </c>
      <c r="F12" s="145"/>
    </row>
    <row r="13" spans="1:6">
      <c r="A13" s="81" t="str">
        <f>HLOOKUP(INDICE!$F$2,Nombres!$C$3:$E$853,258)</f>
        <v xml:space="preserve">    Construction in progress</v>
      </c>
      <c r="B13" s="69">
        <v>49.82034603000001</v>
      </c>
      <c r="C13" s="69">
        <v>18.059952369999998</v>
      </c>
      <c r="D13" s="69">
        <v>31.760393660000013</v>
      </c>
      <c r="E13" s="145">
        <v>36.250154423104462</v>
      </c>
    </row>
    <row r="14" spans="1:6">
      <c r="A14" s="81" t="str">
        <f>HLOOKUP(INDICE!$F$2,Nombres!$C$3:$E$853,259)</f>
        <v xml:space="preserve">    Land</v>
      </c>
      <c r="B14" s="69">
        <v>596.88585004000026</v>
      </c>
      <c r="C14" s="69">
        <v>406.39672058000008</v>
      </c>
      <c r="D14" s="69">
        <v>190.48912946000019</v>
      </c>
      <c r="E14" s="145">
        <v>68.086171007867819</v>
      </c>
    </row>
    <row r="15" spans="1:6">
      <c r="A15" s="253" t="str">
        <f>HLOOKUP(INDICE!$F$2,Nombres!$C$3:$E$853,260)</f>
        <v xml:space="preserve">  Without collateral and other</v>
      </c>
      <c r="B15" s="69">
        <v>110.31407293000005</v>
      </c>
      <c r="C15" s="69">
        <v>84.582036370000111</v>
      </c>
      <c r="D15" s="69">
        <v>25.732036559999941</v>
      </c>
      <c r="E15" s="145">
        <v>76.67384053861538</v>
      </c>
    </row>
    <row r="16" spans="1:6">
      <c r="A16" s="252" t="str">
        <f>HLOOKUP(INDICE!$F$2,Nombres!$C$3:$E$853,255)</f>
        <v>Foreclosed assets</v>
      </c>
      <c r="B16" s="77">
        <v>11568</v>
      </c>
      <c r="C16" s="254">
        <v>7098</v>
      </c>
      <c r="D16" s="254">
        <v>4470</v>
      </c>
      <c r="E16" s="77">
        <v>61.358921161825734</v>
      </c>
    </row>
    <row r="17" spans="1:5">
      <c r="A17" s="81" t="str">
        <f>HLOOKUP(INDICE!$F$2,Nombres!$C$3:$E$853,257)</f>
        <v xml:space="preserve">    Finished properties</v>
      </c>
      <c r="B17" s="69">
        <v>7169</v>
      </c>
      <c r="C17" s="69">
        <v>3659</v>
      </c>
      <c r="D17" s="69">
        <v>3510</v>
      </c>
      <c r="E17" s="145">
        <v>51.03919654066118</v>
      </c>
    </row>
    <row r="18" spans="1:5">
      <c r="A18" s="81" t="str">
        <f>HLOOKUP(INDICE!$F$2,Nombres!$C$3:$E$853,258)</f>
        <v xml:space="preserve">    Construction in progress</v>
      </c>
      <c r="B18" s="69">
        <v>519</v>
      </c>
      <c r="C18" s="69">
        <v>345</v>
      </c>
      <c r="D18" s="69">
        <v>174</v>
      </c>
      <c r="E18" s="145">
        <v>66.473988439306353</v>
      </c>
    </row>
    <row r="19" spans="1:5">
      <c r="A19" s="81" t="str">
        <f>HLOOKUP(INDICE!$F$2,Nombres!$C$3:$E$853,259)</f>
        <v xml:space="preserve">    Land</v>
      </c>
      <c r="B19" s="69">
        <v>3880</v>
      </c>
      <c r="C19" s="69">
        <v>3094</v>
      </c>
      <c r="D19" s="69">
        <v>786</v>
      </c>
      <c r="E19" s="145">
        <v>79.742268041237125</v>
      </c>
    </row>
    <row r="20" spans="1:5">
      <c r="A20" s="252" t="str">
        <f>HLOOKUP(INDICE!$F$2,Nombres!$C$3:$E$853,408)</f>
        <v>Other real-estate assets (2)</v>
      </c>
      <c r="B20" s="255">
        <v>814.43553859017811</v>
      </c>
      <c r="C20" s="255">
        <v>502.77273615383638</v>
      </c>
      <c r="D20" s="255">
        <v>311.66280243634174</v>
      </c>
      <c r="E20" s="77">
        <v>61.732661743145066</v>
      </c>
    </row>
    <row r="21" spans="1:5">
      <c r="A21" s="256" t="str">
        <f>HLOOKUP(INDICE!$F$2,Nombres!$C$3:$E$853,261)</f>
        <v>Real-estate exposure</v>
      </c>
      <c r="B21" s="208">
        <v>13818.235538590177</v>
      </c>
      <c r="C21" s="208">
        <v>8358.2727361538382</v>
      </c>
      <c r="D21" s="208">
        <v>5459.962802436341</v>
      </c>
      <c r="E21" s="208">
        <v>60.48726491028247</v>
      </c>
    </row>
    <row r="22" spans="1:5" ht="45" customHeight="1">
      <c r="A22" s="319" t="str">
        <f>HLOOKUP(INDICE!$F$2,Nombres!$C$3:$E$853,409)</f>
        <v>(1) Compared to Bank of Spain's Transparency scope (Circular 5/2011 dated November 30), real-estate developer loans do not include €2.3 Bn (June 2018) mainly related performing loans to developers transferred to the Banking activity in Spain area.</v>
      </c>
      <c r="B22" s="319"/>
      <c r="C22" s="319"/>
      <c r="D22" s="319"/>
      <c r="E22" s="319"/>
    </row>
    <row r="23" spans="1:5">
      <c r="A23" s="257" t="str">
        <f>HLOOKUP(INDICE!$F$2,Nombres!$C$3:$E$853,410)</f>
        <v>(2) Other real-estate assets not originated from foreclosures.</v>
      </c>
      <c r="B23" s="72"/>
      <c r="C23" s="72"/>
      <c r="D23" s="72"/>
      <c r="E23" s="72"/>
    </row>
  </sheetData>
  <mergeCells count="1">
    <mergeCell ref="A22:E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showGridLines="0" zoomScale="85" zoomScaleNormal="85" workbookViewId="0"/>
  </sheetViews>
  <sheetFormatPr baseColWidth="10" defaultRowHeight="15"/>
  <cols>
    <col min="1" max="1" width="62.85546875" style="217" customWidth="1"/>
    <col min="2" max="2" width="10.7109375" customWidth="1"/>
    <col min="3" max="5" width="10.7109375" style="218" customWidth="1"/>
    <col min="6" max="8" width="10.7109375" customWidth="1"/>
    <col min="255" max="255" width="62.85546875" customWidth="1"/>
    <col min="256" max="263" width="10.7109375" customWidth="1"/>
    <col min="511" max="511" width="62.85546875" customWidth="1"/>
    <col min="512" max="519" width="10.7109375" customWidth="1"/>
    <col min="767" max="767" width="62.85546875" customWidth="1"/>
    <col min="768" max="775" width="10.7109375" customWidth="1"/>
    <col min="1023" max="1023" width="62.85546875" customWidth="1"/>
    <col min="1024" max="1031" width="10.7109375" customWidth="1"/>
    <col min="1279" max="1279" width="62.85546875" customWidth="1"/>
    <col min="1280" max="1287" width="10.7109375" customWidth="1"/>
    <col min="1535" max="1535" width="62.85546875" customWidth="1"/>
    <col min="1536" max="1543" width="10.7109375" customWidth="1"/>
    <col min="1791" max="1791" width="62.85546875" customWidth="1"/>
    <col min="1792" max="1799" width="10.7109375" customWidth="1"/>
    <col min="2047" max="2047" width="62.85546875" customWidth="1"/>
    <col min="2048" max="2055" width="10.7109375" customWidth="1"/>
    <col min="2303" max="2303" width="62.85546875" customWidth="1"/>
    <col min="2304" max="2311" width="10.7109375" customWidth="1"/>
    <col min="2559" max="2559" width="62.85546875" customWidth="1"/>
    <col min="2560" max="2567" width="10.7109375" customWidth="1"/>
    <col min="2815" max="2815" width="62.85546875" customWidth="1"/>
    <col min="2816" max="2823" width="10.7109375" customWidth="1"/>
    <col min="3071" max="3071" width="62.85546875" customWidth="1"/>
    <col min="3072" max="3079" width="10.7109375" customWidth="1"/>
    <col min="3327" max="3327" width="62.85546875" customWidth="1"/>
    <col min="3328" max="3335" width="10.7109375" customWidth="1"/>
    <col min="3583" max="3583" width="62.85546875" customWidth="1"/>
    <col min="3584" max="3591" width="10.7109375" customWidth="1"/>
    <col min="3839" max="3839" width="62.85546875" customWidth="1"/>
    <col min="3840" max="3847" width="10.7109375" customWidth="1"/>
    <col min="4095" max="4095" width="62.85546875" customWidth="1"/>
    <col min="4096" max="4103" width="10.7109375" customWidth="1"/>
    <col min="4351" max="4351" width="62.85546875" customWidth="1"/>
    <col min="4352" max="4359" width="10.7109375" customWidth="1"/>
    <col min="4607" max="4607" width="62.85546875" customWidth="1"/>
    <col min="4608" max="4615" width="10.7109375" customWidth="1"/>
    <col min="4863" max="4863" width="62.85546875" customWidth="1"/>
    <col min="4864" max="4871" width="10.7109375" customWidth="1"/>
    <col min="5119" max="5119" width="62.85546875" customWidth="1"/>
    <col min="5120" max="5127" width="10.7109375" customWidth="1"/>
    <col min="5375" max="5375" width="62.85546875" customWidth="1"/>
    <col min="5376" max="5383" width="10.7109375" customWidth="1"/>
    <col min="5631" max="5631" width="62.85546875" customWidth="1"/>
    <col min="5632" max="5639" width="10.7109375" customWidth="1"/>
    <col min="5887" max="5887" width="62.85546875" customWidth="1"/>
    <col min="5888" max="5895" width="10.7109375" customWidth="1"/>
    <col min="6143" max="6143" width="62.85546875" customWidth="1"/>
    <col min="6144" max="6151" width="10.7109375" customWidth="1"/>
    <col min="6399" max="6399" width="62.85546875" customWidth="1"/>
    <col min="6400" max="6407" width="10.7109375" customWidth="1"/>
    <col min="6655" max="6655" width="62.85546875" customWidth="1"/>
    <col min="6656" max="6663" width="10.7109375" customWidth="1"/>
    <col min="6911" max="6911" width="62.85546875" customWidth="1"/>
    <col min="6912" max="6919" width="10.7109375" customWidth="1"/>
    <col min="7167" max="7167" width="62.85546875" customWidth="1"/>
    <col min="7168" max="7175" width="10.7109375" customWidth="1"/>
    <col min="7423" max="7423" width="62.85546875" customWidth="1"/>
    <col min="7424" max="7431" width="10.7109375" customWidth="1"/>
    <col min="7679" max="7679" width="62.85546875" customWidth="1"/>
    <col min="7680" max="7687" width="10.7109375" customWidth="1"/>
    <col min="7935" max="7935" width="62.85546875" customWidth="1"/>
    <col min="7936" max="7943" width="10.7109375" customWidth="1"/>
    <col min="8191" max="8191" width="62.85546875" customWidth="1"/>
    <col min="8192" max="8199" width="10.7109375" customWidth="1"/>
    <col min="8447" max="8447" width="62.85546875" customWidth="1"/>
    <col min="8448" max="8455" width="10.7109375" customWidth="1"/>
    <col min="8703" max="8703" width="62.85546875" customWidth="1"/>
    <col min="8704" max="8711" width="10.7109375" customWidth="1"/>
    <col min="8959" max="8959" width="62.85546875" customWidth="1"/>
    <col min="8960" max="8967" width="10.7109375" customWidth="1"/>
    <col min="9215" max="9215" width="62.85546875" customWidth="1"/>
    <col min="9216" max="9223" width="10.7109375" customWidth="1"/>
    <col min="9471" max="9471" width="62.85546875" customWidth="1"/>
    <col min="9472" max="9479" width="10.7109375" customWidth="1"/>
    <col min="9727" max="9727" width="62.85546875" customWidth="1"/>
    <col min="9728" max="9735" width="10.7109375" customWidth="1"/>
    <col min="9983" max="9983" width="62.85546875" customWidth="1"/>
    <col min="9984" max="9991" width="10.7109375" customWidth="1"/>
    <col min="10239" max="10239" width="62.85546875" customWidth="1"/>
    <col min="10240" max="10247" width="10.7109375" customWidth="1"/>
    <col min="10495" max="10495" width="62.85546875" customWidth="1"/>
    <col min="10496" max="10503" width="10.7109375" customWidth="1"/>
    <col min="10751" max="10751" width="62.85546875" customWidth="1"/>
    <col min="10752" max="10759" width="10.7109375" customWidth="1"/>
    <col min="11007" max="11007" width="62.85546875" customWidth="1"/>
    <col min="11008" max="11015" width="10.7109375" customWidth="1"/>
    <col min="11263" max="11263" width="62.85546875" customWidth="1"/>
    <col min="11264" max="11271" width="10.7109375" customWidth="1"/>
    <col min="11519" max="11519" width="62.85546875" customWidth="1"/>
    <col min="11520" max="11527" width="10.7109375" customWidth="1"/>
    <col min="11775" max="11775" width="62.85546875" customWidth="1"/>
    <col min="11776" max="11783" width="10.7109375" customWidth="1"/>
    <col min="12031" max="12031" width="62.85546875" customWidth="1"/>
    <col min="12032" max="12039" width="10.7109375" customWidth="1"/>
    <col min="12287" max="12287" width="62.85546875" customWidth="1"/>
    <col min="12288" max="12295" width="10.7109375" customWidth="1"/>
    <col min="12543" max="12543" width="62.85546875" customWidth="1"/>
    <col min="12544" max="12551" width="10.7109375" customWidth="1"/>
    <col min="12799" max="12799" width="62.85546875" customWidth="1"/>
    <col min="12800" max="12807" width="10.7109375" customWidth="1"/>
    <col min="13055" max="13055" width="62.85546875" customWidth="1"/>
    <col min="13056" max="13063" width="10.7109375" customWidth="1"/>
    <col min="13311" max="13311" width="62.85546875" customWidth="1"/>
    <col min="13312" max="13319" width="10.7109375" customWidth="1"/>
    <col min="13567" max="13567" width="62.85546875" customWidth="1"/>
    <col min="13568" max="13575" width="10.7109375" customWidth="1"/>
    <col min="13823" max="13823" width="62.85546875" customWidth="1"/>
    <col min="13824" max="13831" width="10.7109375" customWidth="1"/>
    <col min="14079" max="14079" width="62.85546875" customWidth="1"/>
    <col min="14080" max="14087" width="10.7109375" customWidth="1"/>
    <col min="14335" max="14335" width="62.85546875" customWidth="1"/>
    <col min="14336" max="14343" width="10.7109375" customWidth="1"/>
    <col min="14591" max="14591" width="62.85546875" customWidth="1"/>
    <col min="14592" max="14599" width="10.7109375" customWidth="1"/>
    <col min="14847" max="14847" width="62.85546875" customWidth="1"/>
    <col min="14848" max="14855" width="10.7109375" customWidth="1"/>
    <col min="15103" max="15103" width="62.85546875" customWidth="1"/>
    <col min="15104" max="15111" width="10.7109375" customWidth="1"/>
    <col min="15359" max="15359" width="62.85546875" customWidth="1"/>
    <col min="15360" max="15367" width="10.7109375" customWidth="1"/>
    <col min="15615" max="15615" width="62.85546875" customWidth="1"/>
    <col min="15616" max="15623" width="10.7109375" customWidth="1"/>
    <col min="15871" max="15871" width="62.85546875" customWidth="1"/>
    <col min="15872" max="15879" width="10.7109375" customWidth="1"/>
    <col min="16127" max="16127" width="62.85546875" customWidth="1"/>
    <col min="16128" max="16135" width="10.7109375" customWidth="1"/>
  </cols>
  <sheetData>
    <row r="1" spans="1:8" ht="18" customHeight="1">
      <c r="A1" s="197" t="str">
        <f>HLOOKUP(INDICE!$F$2,Nombres!$C$3:$E$853,20)</f>
        <v>The United States</v>
      </c>
      <c r="B1" s="72"/>
      <c r="C1" s="72"/>
      <c r="D1" s="72"/>
      <c r="E1" s="72"/>
      <c r="F1" s="72"/>
      <c r="G1" s="72"/>
      <c r="H1" s="72"/>
    </row>
    <row r="2" spans="1:8" ht="18" customHeight="1">
      <c r="A2" s="198"/>
      <c r="B2" s="72"/>
      <c r="C2" s="72"/>
      <c r="D2" s="72"/>
      <c r="E2" s="72"/>
      <c r="F2" s="72"/>
      <c r="G2" s="72"/>
      <c r="H2" s="72"/>
    </row>
    <row r="3" spans="1:8" ht="18">
      <c r="A3" s="65" t="str">
        <f>HLOOKUP(INDICE!$F$2,Nombres!$C$3:$E$853,93)</f>
        <v xml:space="preserve">Income statement  </v>
      </c>
      <c r="B3" s="67"/>
      <c r="C3" s="199"/>
      <c r="D3" s="199"/>
      <c r="E3" s="199"/>
      <c r="F3" s="67"/>
      <c r="G3" s="67"/>
      <c r="H3" s="67"/>
    </row>
    <row r="4" spans="1:8">
      <c r="A4" s="68" t="str">
        <f>HLOOKUP(INDICE!$F$2,Nombres!$C$3:$E$853,30)</f>
        <v>(Million euros)</v>
      </c>
      <c r="B4" s="72"/>
      <c r="C4" s="72"/>
      <c r="D4" s="200"/>
      <c r="E4" s="200"/>
      <c r="F4" s="72"/>
      <c r="G4" s="72"/>
      <c r="H4" s="72"/>
    </row>
    <row r="5" spans="1:8">
      <c r="A5" s="201"/>
      <c r="B5" s="72"/>
      <c r="C5" s="72"/>
      <c r="D5" s="200"/>
      <c r="E5" s="200"/>
      <c r="F5" s="72"/>
      <c r="G5" s="72"/>
      <c r="H5" s="72"/>
    </row>
    <row r="6" spans="1:8" ht="15.75">
      <c r="A6" s="73"/>
      <c r="B6" s="315">
        <v>2017</v>
      </c>
      <c r="C6" s="316"/>
      <c r="D6" s="316"/>
      <c r="E6" s="316"/>
      <c r="F6" s="315">
        <v>2018</v>
      </c>
      <c r="G6" s="316"/>
      <c r="H6" s="316"/>
    </row>
    <row r="7" spans="1:8" ht="15.75">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row>
    <row r="8" spans="1:8">
      <c r="A8" s="139" t="str">
        <f>HLOOKUP(INDICE!$F$2,Nombres!$C$3:$E$853,38)</f>
        <v>Net interest income</v>
      </c>
      <c r="B8" s="202">
        <v>526.03543148000006</v>
      </c>
      <c r="C8" s="77">
        <v>552.04636478999998</v>
      </c>
      <c r="D8" s="77">
        <v>513.21279020999998</v>
      </c>
      <c r="E8" s="203">
        <v>527.6975650600001</v>
      </c>
      <c r="F8" s="77">
        <v>524.13556598999992</v>
      </c>
      <c r="G8" s="77">
        <v>557.42473179000001</v>
      </c>
      <c r="H8" s="77">
        <v>583.35840953999991</v>
      </c>
    </row>
    <row r="9" spans="1:8">
      <c r="A9" s="125" t="str">
        <f>HLOOKUP(INDICE!$F$2,Nombres!$C$3:$E$853,39)</f>
        <v>Net fees and commissions</v>
      </c>
      <c r="B9" s="204">
        <v>174.62752239000002</v>
      </c>
      <c r="C9" s="82">
        <v>161.60477822999999</v>
      </c>
      <c r="D9" s="82">
        <v>156.63241276999997</v>
      </c>
      <c r="E9" s="205">
        <v>151.61840355000001</v>
      </c>
      <c r="F9" s="82">
        <v>147.71453353000001</v>
      </c>
      <c r="G9" s="82">
        <v>154.20529493000004</v>
      </c>
      <c r="H9" s="82">
        <v>146.53507096999999</v>
      </c>
    </row>
    <row r="10" spans="1:8">
      <c r="A10" s="125" t="str">
        <f>HLOOKUP(INDICE!$F$2,Nombres!$C$3:$E$853,40)</f>
        <v>Net trading income</v>
      </c>
      <c r="B10" s="204">
        <v>32.801766600000001</v>
      </c>
      <c r="C10" s="82">
        <v>22.633876960000002</v>
      </c>
      <c r="D10" s="82">
        <v>22.544867659999994</v>
      </c>
      <c r="E10" s="205">
        <v>32.792114900000001</v>
      </c>
      <c r="F10" s="82">
        <v>24.277979240000001</v>
      </c>
      <c r="G10" s="82">
        <v>24.670642110000003</v>
      </c>
      <c r="H10" s="82">
        <v>20.370181100000007</v>
      </c>
    </row>
    <row r="11" spans="1:8">
      <c r="A11" s="125" t="str">
        <f>HLOOKUP(INDICE!$F$2,Nombres!$C$3:$E$853,95)</f>
        <v>Other operating income and expenses</v>
      </c>
      <c r="B11" s="204">
        <v>-11.917239000000002</v>
      </c>
      <c r="C11" s="82">
        <v>-11.810181</v>
      </c>
      <c r="D11" s="82">
        <v>0.53107999999999844</v>
      </c>
      <c r="E11" s="205">
        <v>25.138238000000005</v>
      </c>
      <c r="F11" s="82">
        <v>2.5316769999999984</v>
      </c>
      <c r="G11" s="82">
        <v>1.7655839999999963</v>
      </c>
      <c r="H11" s="82">
        <v>-4.5017589999999981</v>
      </c>
    </row>
    <row r="12" spans="1:8">
      <c r="A12" s="139" t="str">
        <f>HLOOKUP(INDICE!$F$2,Nombres!$C$3:$E$853,44)</f>
        <v>Gross income</v>
      </c>
      <c r="B12" s="202">
        <v>721.54748147000009</v>
      </c>
      <c r="C12" s="77">
        <v>724.47483898000007</v>
      </c>
      <c r="D12" s="77">
        <v>692.92115063999995</v>
      </c>
      <c r="E12" s="203">
        <v>737.24632151000014</v>
      </c>
      <c r="F12" s="77">
        <v>698.65975575999994</v>
      </c>
      <c r="G12" s="77">
        <v>738.06625283000005</v>
      </c>
      <c r="H12" s="77">
        <v>745.76190260999988</v>
      </c>
    </row>
    <row r="13" spans="1:8">
      <c r="A13" s="125" t="str">
        <f>HLOOKUP(INDICE!$F$2,Nombres!$C$3:$E$853,45)</f>
        <v>Operating expenses</v>
      </c>
      <c r="B13" s="204">
        <v>-467.89226499999995</v>
      </c>
      <c r="C13" s="82">
        <v>-473.48731670999996</v>
      </c>
      <c r="D13" s="82">
        <v>-441.57223771000002</v>
      </c>
      <c r="E13" s="205">
        <v>-468.42474978999991</v>
      </c>
      <c r="F13" s="82">
        <v>-434.77588104000006</v>
      </c>
      <c r="G13" s="82">
        <v>-456.30223425999998</v>
      </c>
      <c r="H13" s="82">
        <v>-481.62908492000003</v>
      </c>
    </row>
    <row r="14" spans="1:8">
      <c r="A14" s="125" t="str">
        <f>HLOOKUP(INDICE!$F$2,Nombres!$C$3:$E$853,46)</f>
        <v xml:space="preserve">  Administration expenses</v>
      </c>
      <c r="B14" s="204">
        <v>-419.41117500000001</v>
      </c>
      <c r="C14" s="82">
        <v>-424.96039371000001</v>
      </c>
      <c r="D14" s="82">
        <v>-396.96292271000004</v>
      </c>
      <c r="E14" s="205">
        <v>-423.51370378999991</v>
      </c>
      <c r="F14" s="82">
        <v>-392.53967204000003</v>
      </c>
      <c r="G14" s="82">
        <v>-412.65123826000001</v>
      </c>
      <c r="H14" s="82">
        <v>-436.01608092000004</v>
      </c>
    </row>
    <row r="15" spans="1:8">
      <c r="A15" s="141" t="str">
        <f>HLOOKUP(INDICE!$F$2,Nombres!$C$3:$E$853,47)</f>
        <v xml:space="preserve">  Personnel expenses</v>
      </c>
      <c r="B15" s="204">
        <v>-269.09715597000002</v>
      </c>
      <c r="C15" s="82">
        <v>-276.26300013000002</v>
      </c>
      <c r="D15" s="82">
        <v>-253.51623539000008</v>
      </c>
      <c r="E15" s="205">
        <v>-268.46526792999998</v>
      </c>
      <c r="F15" s="82">
        <v>-251.64323691999999</v>
      </c>
      <c r="G15" s="82">
        <v>-260.34696627999995</v>
      </c>
      <c r="H15" s="82">
        <v>-272.08075029000003</v>
      </c>
    </row>
    <row r="16" spans="1:8">
      <c r="A16" s="141" t="str">
        <f>HLOOKUP(INDICE!$F$2,Nombres!$C$3:$E$853,48)</f>
        <v xml:space="preserve">  General and administrative expenses</v>
      </c>
      <c r="B16" s="204">
        <v>-150.31401903</v>
      </c>
      <c r="C16" s="82">
        <v>-148.69739357999998</v>
      </c>
      <c r="D16" s="82">
        <v>-143.44668732000002</v>
      </c>
      <c r="E16" s="205">
        <v>-155.04843585999993</v>
      </c>
      <c r="F16" s="82">
        <v>-140.89643512000004</v>
      </c>
      <c r="G16" s="82">
        <v>-152.30427197999998</v>
      </c>
      <c r="H16" s="82">
        <v>-163.93533062999995</v>
      </c>
    </row>
    <row r="17" spans="1:8" ht="13.5" customHeight="1">
      <c r="A17" s="125" t="str">
        <f>HLOOKUP(INDICE!$F$2,Nombres!$C$3:$E$853,49)</f>
        <v xml:space="preserve">  Depreciation</v>
      </c>
      <c r="B17" s="204">
        <v>-48.481090000000002</v>
      </c>
      <c r="C17" s="82">
        <v>-48.526923000000004</v>
      </c>
      <c r="D17" s="82">
        <v>-44.609315000000002</v>
      </c>
      <c r="E17" s="205">
        <v>-44.911046000000006</v>
      </c>
      <c r="F17" s="82">
        <v>-42.236208999999995</v>
      </c>
      <c r="G17" s="82">
        <v>-43.650995999999999</v>
      </c>
      <c r="H17" s="82">
        <v>-45.613004000000004</v>
      </c>
    </row>
    <row r="18" spans="1:8" ht="12.75" customHeight="1">
      <c r="A18" s="139" t="str">
        <f>HLOOKUP(INDICE!$F$2,Nombres!$C$3:$E$853,50)</f>
        <v>Operating income</v>
      </c>
      <c r="B18" s="202">
        <v>253.65521647000003</v>
      </c>
      <c r="C18" s="77">
        <v>250.98752227000006</v>
      </c>
      <c r="D18" s="77">
        <v>251.34891292999993</v>
      </c>
      <c r="E18" s="203">
        <v>268.82157172000018</v>
      </c>
      <c r="F18" s="77">
        <v>263.88387471999988</v>
      </c>
      <c r="G18" s="77">
        <v>281.76401857000002</v>
      </c>
      <c r="H18" s="77">
        <v>264.13281768999985</v>
      </c>
    </row>
    <row r="19" spans="1:8" ht="13.5" customHeight="1">
      <c r="A19" s="125" t="str">
        <f>HLOOKUP(INDICE!$F$2,Nombres!$C$3:$E$853,51)</f>
        <v>Impaiment on financial assets not measured at fair value through profit or loss</v>
      </c>
      <c r="B19" s="204">
        <v>-73.055714999999992</v>
      </c>
      <c r="C19" s="82">
        <v>-40.423079000000016</v>
      </c>
      <c r="D19" s="82">
        <v>-83.604641999999984</v>
      </c>
      <c r="E19" s="205">
        <v>-43.976323000000008</v>
      </c>
      <c r="F19" s="82">
        <v>-20.298012999999997</v>
      </c>
      <c r="G19" s="82">
        <v>-42.505830089999961</v>
      </c>
      <c r="H19" s="82">
        <v>-74.919036000000133</v>
      </c>
    </row>
    <row r="20" spans="1:8" ht="13.5" customHeight="1">
      <c r="A20" s="125" t="str">
        <f>HLOOKUP(INDICE!$F$2,Nombres!$C$3:$E$853,160)</f>
        <v>Provisions or reversal of provisions and other results</v>
      </c>
      <c r="B20" s="204">
        <v>-3.9198390000000005</v>
      </c>
      <c r="C20" s="82">
        <v>-0.93244400000000061</v>
      </c>
      <c r="D20" s="82">
        <v>-12.807781999999998</v>
      </c>
      <c r="E20" s="205">
        <v>-18.209597000000002</v>
      </c>
      <c r="F20" s="82">
        <v>7.9424909999999995</v>
      </c>
      <c r="G20" s="82">
        <v>3.7300674900000002</v>
      </c>
      <c r="H20" s="82">
        <v>1.8361050000000001</v>
      </c>
    </row>
    <row r="21" spans="1:8" ht="12.75" customHeight="1">
      <c r="A21" s="139" t="str">
        <f>HLOOKUP(INDICE!$F$2,Nombres!$C$3:$E$853,54)</f>
        <v>Profit/(loss) before tax</v>
      </c>
      <c r="B21" s="202">
        <v>176.67966247000001</v>
      </c>
      <c r="C21" s="77">
        <v>209.63199927000008</v>
      </c>
      <c r="D21" s="77">
        <v>154.93648892999994</v>
      </c>
      <c r="E21" s="203">
        <v>206.63565172000023</v>
      </c>
      <c r="F21" s="77">
        <v>251.52835271999993</v>
      </c>
      <c r="G21" s="77">
        <v>242.98825597000007</v>
      </c>
      <c r="H21" s="77">
        <v>191.04988668999977</v>
      </c>
    </row>
    <row r="22" spans="1:8" ht="13.5" customHeight="1">
      <c r="A22" s="125" t="str">
        <f>HLOOKUP(INDICE!$F$2,Nombres!$C$3:$E$853,55)</f>
        <v>Income tax</v>
      </c>
      <c r="B22" s="204">
        <v>-47.249461769999996</v>
      </c>
      <c r="C22" s="82">
        <v>-55.389859300000012</v>
      </c>
      <c r="D22" s="82">
        <v>-36.381734940000015</v>
      </c>
      <c r="E22" s="205">
        <v>-123.33682079000002</v>
      </c>
      <c r="F22" s="82">
        <v>-56.204599180000002</v>
      </c>
      <c r="G22" s="82">
        <v>-51.66551673</v>
      </c>
      <c r="H22" s="82">
        <v>-36.836851629999991</v>
      </c>
    </row>
    <row r="23" spans="1:8" ht="13.5" customHeight="1">
      <c r="A23" s="139" t="str">
        <f>HLOOKUP(INDICE!$F$2,Nombres!$C$3:$E$853,56)</f>
        <v>Profit/(loss) for the year</v>
      </c>
      <c r="B23" s="202">
        <v>129.4302007</v>
      </c>
      <c r="C23" s="77">
        <v>154.24213997000004</v>
      </c>
      <c r="D23" s="77">
        <v>118.55475398999995</v>
      </c>
      <c r="E23" s="203">
        <v>83.298830930000179</v>
      </c>
      <c r="F23" s="77">
        <v>195.32375353999998</v>
      </c>
      <c r="G23" s="77">
        <v>191.32273924000009</v>
      </c>
      <c r="H23" s="77">
        <v>154.21303505999978</v>
      </c>
    </row>
    <row r="24" spans="1:8" ht="12" customHeight="1">
      <c r="A24" s="125" t="str">
        <f>HLOOKUP(INDICE!$F$2,Nombres!$C$3:$E$853,57)</f>
        <v>Non-controlling interests</v>
      </c>
      <c r="B24" s="228" t="s">
        <v>744</v>
      </c>
      <c r="C24" s="82" t="s">
        <v>744</v>
      </c>
      <c r="D24" s="82" t="s">
        <v>744</v>
      </c>
      <c r="E24" s="205" t="s">
        <v>744</v>
      </c>
      <c r="F24" s="82" t="s">
        <v>744</v>
      </c>
      <c r="G24" s="82" t="s">
        <v>744</v>
      </c>
      <c r="H24" s="82" t="s">
        <v>744</v>
      </c>
    </row>
    <row r="25" spans="1:8" ht="14.25" customHeight="1">
      <c r="A25" s="206" t="str">
        <f>HLOOKUP(INDICE!$F$2,Nombres!$C$3:$E$853,58)</f>
        <v>Net attributable profit</v>
      </c>
      <c r="B25" s="207">
        <v>129.4302007</v>
      </c>
      <c r="C25" s="208">
        <v>154.24213997000004</v>
      </c>
      <c r="D25" s="208">
        <v>118.55475398999995</v>
      </c>
      <c r="E25" s="209">
        <v>83.298830930000179</v>
      </c>
      <c r="F25" s="208">
        <v>195.32375353999998</v>
      </c>
      <c r="G25" s="208">
        <v>191.32273924000009</v>
      </c>
      <c r="H25" s="208">
        <v>154.21303505999978</v>
      </c>
    </row>
    <row r="26" spans="1:8" ht="14.25" customHeight="1">
      <c r="A26" s="72"/>
      <c r="B26" s="72"/>
      <c r="C26" s="72"/>
      <c r="D26" s="72"/>
      <c r="E26" s="72"/>
      <c r="F26" s="72"/>
      <c r="G26" s="72"/>
      <c r="H26" s="72"/>
    </row>
    <row r="27" spans="1:8" ht="18" customHeight="1">
      <c r="A27" s="65" t="str">
        <f>HLOOKUP(INDICE!$F$2,Nombres!$C$3:$E$853,94)</f>
        <v>Balance sheets</v>
      </c>
      <c r="B27" s="67"/>
      <c r="C27" s="199"/>
      <c r="D27" s="199"/>
      <c r="E27" s="199"/>
      <c r="F27" s="67"/>
      <c r="G27" s="67"/>
      <c r="H27" s="67"/>
    </row>
    <row r="28" spans="1:8" ht="12.75" customHeight="1">
      <c r="A28" s="68" t="str">
        <f>HLOOKUP(INDICE!$F$2,Nombres!$C$3:$E$853,30)</f>
        <v>(Million euros)</v>
      </c>
      <c r="B28" s="72"/>
      <c r="C28" s="211"/>
      <c r="D28" s="211"/>
      <c r="E28" s="211"/>
      <c r="F28" s="84"/>
      <c r="G28" s="212"/>
      <c r="H28" s="212"/>
    </row>
    <row r="29" spans="1:8" ht="13.5" customHeight="1">
      <c r="A29" s="72"/>
      <c r="B29" s="59">
        <v>42825</v>
      </c>
      <c r="C29" s="59">
        <v>42916</v>
      </c>
      <c r="D29" s="59">
        <v>43008</v>
      </c>
      <c r="E29" s="59">
        <v>43100</v>
      </c>
      <c r="F29" s="59">
        <v>43190</v>
      </c>
      <c r="G29" s="59">
        <v>43281</v>
      </c>
      <c r="H29" s="59">
        <v>43373</v>
      </c>
    </row>
    <row r="30" spans="1:8">
      <c r="A30" s="125" t="str">
        <f>HLOOKUP(INDICE!$F$2,Nombres!$C$3:$E$853,100)</f>
        <v>Cash, cash balances at central banks and other demand deposits</v>
      </c>
      <c r="B30" s="204">
        <v>6154</v>
      </c>
      <c r="C30" s="82">
        <v>4512</v>
      </c>
      <c r="D30" s="82">
        <v>4255</v>
      </c>
      <c r="E30" s="205">
        <v>7138</v>
      </c>
      <c r="F30" s="82">
        <v>4890</v>
      </c>
      <c r="G30" s="82">
        <v>4655</v>
      </c>
      <c r="H30" s="82">
        <v>4388.5138299999999</v>
      </c>
    </row>
    <row r="31" spans="1:8">
      <c r="A31" s="125" t="str">
        <f>HLOOKUP(INDICE!$F$2,Nombres!$C$3:$E$853,101)</f>
        <v xml:space="preserve">Financial assets designated at fair value </v>
      </c>
      <c r="B31" s="204">
        <v>14130</v>
      </c>
      <c r="C31" s="82">
        <v>13283</v>
      </c>
      <c r="D31" s="82">
        <v>11185</v>
      </c>
      <c r="E31" s="205">
        <v>11068</v>
      </c>
      <c r="F31" s="82">
        <v>10012</v>
      </c>
      <c r="G31" s="82">
        <v>10633</v>
      </c>
      <c r="H31" s="82">
        <v>10524.627112000002</v>
      </c>
    </row>
    <row r="32" spans="1:8">
      <c r="A32" s="125" t="str">
        <f>HLOOKUP(INDICE!$F$2,Nombres!$C$3:$E$853,406)</f>
        <v>Financial assets at amortized cost</v>
      </c>
      <c r="B32" s="204">
        <v>60614</v>
      </c>
      <c r="C32" s="82">
        <v>56512</v>
      </c>
      <c r="D32" s="82">
        <v>54919</v>
      </c>
      <c r="E32" s="205">
        <v>54705</v>
      </c>
      <c r="F32" s="82">
        <v>54468</v>
      </c>
      <c r="G32" s="82">
        <v>58969</v>
      </c>
      <c r="H32" s="82">
        <v>60939.669386000009</v>
      </c>
    </row>
    <row r="33" spans="1:8">
      <c r="A33" s="125" t="str">
        <f>HLOOKUP(INDICE!$F$2,Nombres!$C$3:$E$853,103)</f>
        <v xml:space="preserve">    of which loans and advances to customers</v>
      </c>
      <c r="B33" s="204">
        <v>58966</v>
      </c>
      <c r="C33" s="82">
        <v>54988</v>
      </c>
      <c r="D33" s="82">
        <v>53477</v>
      </c>
      <c r="E33" s="205">
        <v>53718</v>
      </c>
      <c r="F33" s="82">
        <v>52721</v>
      </c>
      <c r="G33" s="82">
        <v>56975</v>
      </c>
      <c r="H33" s="82">
        <v>58608.311750000008</v>
      </c>
    </row>
    <row r="34" spans="1:8">
      <c r="A34" s="125" t="str">
        <f>HLOOKUP(INDICE!$F$2,Nombres!$C$3:$E$853,105)</f>
        <v>Inter-area positions</v>
      </c>
      <c r="B34" s="213">
        <v>0</v>
      </c>
      <c r="C34" s="82">
        <v>0</v>
      </c>
      <c r="D34" s="82">
        <v>0</v>
      </c>
      <c r="E34" s="205">
        <v>0</v>
      </c>
      <c r="F34" s="82">
        <v>0</v>
      </c>
      <c r="G34" s="82">
        <v>0</v>
      </c>
      <c r="H34" s="82">
        <v>0</v>
      </c>
    </row>
    <row r="35" spans="1:8">
      <c r="A35" s="125" t="str">
        <f>HLOOKUP(INDICE!$F$2,Nombres!$C$3:$E$853,106)</f>
        <v>Tangible assets</v>
      </c>
      <c r="B35" s="214">
        <v>770</v>
      </c>
      <c r="C35" s="82">
        <v>706</v>
      </c>
      <c r="D35" s="82">
        <v>673</v>
      </c>
      <c r="E35" s="205">
        <v>658</v>
      </c>
      <c r="F35" s="82">
        <v>633</v>
      </c>
      <c r="G35" s="82">
        <v>661</v>
      </c>
      <c r="H35" s="82">
        <v>662.12744700000007</v>
      </c>
    </row>
    <row r="36" spans="1:8">
      <c r="A36" s="125" t="str">
        <f>HLOOKUP(INDICE!$F$2,Nombres!$C$3:$E$853,107)</f>
        <v>Other assets</v>
      </c>
      <c r="B36" s="204">
        <v>2582</v>
      </c>
      <c r="C36" s="82">
        <v>2466</v>
      </c>
      <c r="D36" s="82">
        <v>2398</v>
      </c>
      <c r="E36" s="205">
        <v>2207</v>
      </c>
      <c r="F36" s="82">
        <v>2276</v>
      </c>
      <c r="G36" s="82">
        <v>2252</v>
      </c>
      <c r="H36" s="82">
        <v>2383.3288110000003</v>
      </c>
    </row>
    <row r="37" spans="1:8">
      <c r="A37" s="206" t="str">
        <f>HLOOKUP(INDICE!$F$2,Nombres!$C$3:$E$853,108)</f>
        <v>Total assets / Liabilities and equity</v>
      </c>
      <c r="B37" s="207">
        <v>84250</v>
      </c>
      <c r="C37" s="208">
        <v>77479</v>
      </c>
      <c r="D37" s="208">
        <v>73428</v>
      </c>
      <c r="E37" s="209">
        <v>75775</v>
      </c>
      <c r="F37" s="208">
        <v>72280</v>
      </c>
      <c r="G37" s="208">
        <v>77171</v>
      </c>
      <c r="H37" s="208">
        <v>78898.266586000027</v>
      </c>
    </row>
    <row r="38" spans="1:8">
      <c r="A38" s="125" t="str">
        <f>HLOOKUP(INDICE!$F$2,Nombres!$C$3:$E$853,111)</f>
        <v>Financial liabilities held for trading and designated at fair value through profit or loss</v>
      </c>
      <c r="B38" s="204">
        <v>2663</v>
      </c>
      <c r="C38" s="82">
        <v>2296</v>
      </c>
      <c r="D38" s="82">
        <v>442</v>
      </c>
      <c r="E38" s="205">
        <v>139</v>
      </c>
      <c r="F38" s="82">
        <v>172</v>
      </c>
      <c r="G38" s="82">
        <v>389</v>
      </c>
      <c r="H38" s="82">
        <v>305.44399999999996</v>
      </c>
    </row>
    <row r="39" spans="1:8">
      <c r="A39" s="125" t="str">
        <f>HLOOKUP(INDICE!$F$2,Nombres!$C$3:$E$853,109)</f>
        <v>Deposits from central banks and credit institutions</v>
      </c>
      <c r="B39" s="204">
        <v>3779</v>
      </c>
      <c r="C39" s="82">
        <v>4325</v>
      </c>
      <c r="D39" s="82">
        <v>3904</v>
      </c>
      <c r="E39" s="205">
        <v>3580</v>
      </c>
      <c r="F39" s="82">
        <v>3060</v>
      </c>
      <c r="G39" s="82">
        <v>3119</v>
      </c>
      <c r="H39" s="82">
        <v>4477.0981570000004</v>
      </c>
    </row>
    <row r="40" spans="1:8">
      <c r="A40" s="125" t="str">
        <f>HLOOKUP(INDICE!$F$2,Nombres!$C$3:$E$853,110)</f>
        <v>Deposits from customers</v>
      </c>
      <c r="B40" s="204">
        <v>63814</v>
      </c>
      <c r="C40" s="82">
        <v>58581</v>
      </c>
      <c r="D40" s="82">
        <v>57307</v>
      </c>
      <c r="E40" s="205">
        <v>60806</v>
      </c>
      <c r="F40" s="82">
        <v>58431</v>
      </c>
      <c r="G40" s="82">
        <v>60704</v>
      </c>
      <c r="H40" s="82">
        <v>60916.716243000003</v>
      </c>
    </row>
    <row r="41" spans="1:8" ht="13.5" customHeight="1">
      <c r="A41" s="125" t="str">
        <f>HLOOKUP(INDICE!$F$2,Nombres!$C$3:$E$853,112)</f>
        <v>Debt certificates</v>
      </c>
      <c r="B41" s="204">
        <v>2425</v>
      </c>
      <c r="C41" s="82">
        <v>2896</v>
      </c>
      <c r="D41" s="82">
        <v>2399</v>
      </c>
      <c r="E41" s="205">
        <v>2017</v>
      </c>
      <c r="F41" s="82">
        <v>1940</v>
      </c>
      <c r="G41" s="82">
        <v>3227</v>
      </c>
      <c r="H41" s="82">
        <v>3227.4259941699997</v>
      </c>
    </row>
    <row r="42" spans="1:8" ht="13.5" customHeight="1">
      <c r="A42" s="125" t="str">
        <f>HLOOKUP(INDICE!$F$2,Nombres!$C$3:$E$853,113)</f>
        <v>Inter-area positions</v>
      </c>
      <c r="B42" s="204">
        <v>2061</v>
      </c>
      <c r="C42" s="82">
        <v>625</v>
      </c>
      <c r="D42" s="82">
        <v>878</v>
      </c>
      <c r="E42" s="205">
        <v>1110</v>
      </c>
      <c r="F42" s="82">
        <v>1116</v>
      </c>
      <c r="G42" s="82">
        <v>1870</v>
      </c>
      <c r="H42" s="82">
        <v>1808.4480342700117</v>
      </c>
    </row>
    <row r="43" spans="1:8">
      <c r="A43" s="125" t="str">
        <f>HLOOKUP(INDICE!$F$2,Nombres!$C$3:$E$853,115)</f>
        <v>Other liabilities</v>
      </c>
      <c r="B43" s="204">
        <v>6188</v>
      </c>
      <c r="C43" s="82">
        <v>5863</v>
      </c>
      <c r="D43" s="82">
        <v>5829</v>
      </c>
      <c r="E43" s="205">
        <v>5431</v>
      </c>
      <c r="F43" s="82">
        <v>4929</v>
      </c>
      <c r="G43" s="82">
        <v>4945</v>
      </c>
      <c r="H43" s="82">
        <v>5059.9855265800088</v>
      </c>
    </row>
    <row r="44" spans="1:8" ht="12.75" customHeight="1">
      <c r="A44" s="125" t="str">
        <f>HLOOKUP(INDICE!$F$2,Nombres!$C$3:$E$853,116)</f>
        <v>Economic capital allocated</v>
      </c>
      <c r="B44" s="204">
        <v>3320</v>
      </c>
      <c r="C44" s="82">
        <v>2893</v>
      </c>
      <c r="D44" s="82">
        <v>2670</v>
      </c>
      <c r="E44" s="205">
        <v>2693</v>
      </c>
      <c r="F44" s="82">
        <v>2631</v>
      </c>
      <c r="G44" s="82">
        <v>2916</v>
      </c>
      <c r="H44" s="82">
        <v>3103.1486309800002</v>
      </c>
    </row>
    <row r="45" spans="1:8" ht="12.75" customHeight="1">
      <c r="A45" s="125"/>
      <c r="B45" s="69"/>
      <c r="C45" s="82"/>
      <c r="D45" s="82"/>
      <c r="E45" s="82"/>
      <c r="F45" s="82"/>
      <c r="G45" s="82"/>
      <c r="H45" s="82"/>
    </row>
    <row r="46" spans="1:8" ht="15" customHeight="1">
      <c r="A46" s="65" t="str">
        <f>HLOOKUP(INDICE!$F$2,Nombres!$C$3:$E$853,117)</f>
        <v>Relevant business indicators</v>
      </c>
      <c r="B46" s="67"/>
      <c r="C46" s="199"/>
      <c r="D46" s="199"/>
      <c r="E46" s="199"/>
      <c r="F46" s="67"/>
      <c r="G46" s="67"/>
      <c r="H46" s="67"/>
    </row>
    <row r="47" spans="1:8" ht="13.5" customHeight="1">
      <c r="A47" s="68" t="str">
        <f>HLOOKUP(INDICE!$F$2,Nombres!$C$3:$E$853,30)</f>
        <v>(Million euros)</v>
      </c>
      <c r="B47" s="72"/>
      <c r="C47" s="72"/>
      <c r="D47" s="72"/>
      <c r="E47" s="72"/>
      <c r="F47" s="84"/>
      <c r="G47" s="212"/>
      <c r="H47" s="212"/>
    </row>
    <row r="48" spans="1:8" ht="15.75">
      <c r="A48" s="72"/>
      <c r="B48" s="59">
        <v>42825</v>
      </c>
      <c r="C48" s="59">
        <v>42916</v>
      </c>
      <c r="D48" s="59">
        <v>43008</v>
      </c>
      <c r="E48" s="59">
        <v>43100</v>
      </c>
      <c r="F48" s="59">
        <v>43190</v>
      </c>
      <c r="G48" s="59">
        <v>43281</v>
      </c>
      <c r="H48" s="59">
        <v>43373</v>
      </c>
    </row>
    <row r="49" spans="1:8" ht="12" customHeight="1">
      <c r="A49" s="125" t="str">
        <f>HLOOKUP(INDICE!$F$2,Nombres!$C$3:$E$853,118)</f>
        <v>Loans and advances to customers (gross) (*)</v>
      </c>
      <c r="B49" s="204">
        <v>59784</v>
      </c>
      <c r="C49" s="82">
        <v>55730</v>
      </c>
      <c r="D49" s="82">
        <v>54215</v>
      </c>
      <c r="E49" s="205">
        <v>54432</v>
      </c>
      <c r="F49" s="82">
        <v>53083</v>
      </c>
      <c r="G49" s="82">
        <v>57635</v>
      </c>
      <c r="H49" s="82">
        <v>59280.463280999997</v>
      </c>
    </row>
    <row r="50" spans="1:8">
      <c r="A50" s="125" t="str">
        <f>HLOOKUP(INDICE!$F$2,Nombres!$C$3:$E$853,121)</f>
        <v>Customer deposits under management (*)</v>
      </c>
      <c r="B50" s="204">
        <v>63814.119899999918</v>
      </c>
      <c r="C50" s="82">
        <v>58580.64417799998</v>
      </c>
      <c r="D50" s="82">
        <v>57307.262760000012</v>
      </c>
      <c r="E50" s="205">
        <v>60805.878179990003</v>
      </c>
      <c r="F50" s="82">
        <v>58522.318263089997</v>
      </c>
      <c r="G50" s="82">
        <v>60810</v>
      </c>
      <c r="H50" s="82">
        <v>60913.4025913</v>
      </c>
    </row>
    <row r="51" spans="1:8">
      <c r="A51" s="125" t="str">
        <f>HLOOKUP(INDICE!$F$2,Nombres!$C$3:$E$853,122)</f>
        <v>Mutual funds</v>
      </c>
      <c r="B51" s="228">
        <v>0</v>
      </c>
      <c r="C51" s="82">
        <v>0</v>
      </c>
      <c r="D51" s="82">
        <v>0</v>
      </c>
      <c r="E51" s="205">
        <v>0</v>
      </c>
      <c r="F51" s="82">
        <v>0</v>
      </c>
      <c r="G51" s="82" t="s">
        <v>744</v>
      </c>
      <c r="H51" s="82" t="s">
        <v>744</v>
      </c>
    </row>
    <row r="52" spans="1:8">
      <c r="A52" s="125" t="str">
        <f>HLOOKUP(INDICE!$F$2,Nombres!$C$3:$E$853,206)</f>
        <v>Pension funds</v>
      </c>
      <c r="B52" s="228">
        <v>0</v>
      </c>
      <c r="C52" s="82">
        <v>0</v>
      </c>
      <c r="D52" s="82">
        <v>0</v>
      </c>
      <c r="E52" s="205">
        <v>0</v>
      </c>
      <c r="F52" s="82">
        <v>0</v>
      </c>
      <c r="G52" s="82" t="s">
        <v>744</v>
      </c>
      <c r="H52" s="82" t="s">
        <v>744</v>
      </c>
    </row>
    <row r="53" spans="1:8">
      <c r="A53" s="125" t="str">
        <f>HLOOKUP(INDICE!$F$2,Nombres!$C$3:$E$853,308)</f>
        <v>Other off balance-sheet funds</v>
      </c>
      <c r="B53" s="228">
        <v>0</v>
      </c>
      <c r="C53" s="82">
        <v>0</v>
      </c>
      <c r="D53" s="82">
        <v>0</v>
      </c>
      <c r="E53" s="205">
        <v>0</v>
      </c>
      <c r="F53" s="82">
        <v>0</v>
      </c>
      <c r="G53" s="82" t="s">
        <v>744</v>
      </c>
      <c r="H53" s="82" t="s">
        <v>744</v>
      </c>
    </row>
    <row r="54" spans="1:8">
      <c r="A54" s="215" t="str">
        <f>HLOOKUP(INDICE!$F$2,Nombres!$C$3:$E$853,307)</f>
        <v xml:space="preserve">(*) Excluding repos. </v>
      </c>
      <c r="B54" s="69"/>
      <c r="C54" s="82"/>
      <c r="D54" s="82"/>
      <c r="E54" s="82"/>
      <c r="F54" s="82"/>
      <c r="G54" s="82"/>
      <c r="H54" s="82"/>
    </row>
    <row r="55" spans="1:8">
      <c r="A55" s="215" t="str">
        <f>HLOOKUP(INDICE!$F$2,Nombres!$C$3:$E$853,285)</f>
        <v xml:space="preserve"> </v>
      </c>
      <c r="B55" s="72"/>
      <c r="C55" s="72"/>
      <c r="D55" s="72"/>
      <c r="E55" s="72"/>
      <c r="F55" s="72"/>
      <c r="G55" s="72"/>
      <c r="H55" s="72"/>
    </row>
    <row r="56" spans="1:8">
      <c r="A56" s="215"/>
      <c r="B56" s="72"/>
      <c r="C56" s="72"/>
      <c r="D56" s="72"/>
      <c r="E56" s="72"/>
      <c r="F56" s="72"/>
      <c r="G56" s="72"/>
      <c r="H56" s="72"/>
    </row>
    <row r="57" spans="1:8" ht="18">
      <c r="A57" s="65" t="str">
        <f>HLOOKUP(INDICE!$F$2,Nombres!$C$3:$E$853,93)</f>
        <v xml:space="preserve">Income statement  </v>
      </c>
      <c r="B57" s="67"/>
      <c r="C57" s="199"/>
      <c r="D57" s="199"/>
      <c r="E57" s="199"/>
      <c r="F57" s="67"/>
      <c r="G57" s="67"/>
      <c r="H57" s="67"/>
    </row>
    <row r="58" spans="1:8">
      <c r="A58" s="68" t="str">
        <f>HLOOKUP(INDICE!$F$2,Nombres!$C$3:$E$853,31)</f>
        <v xml:space="preserve">(Constant million euros)    </v>
      </c>
      <c r="B58" s="72"/>
      <c r="C58" s="200"/>
      <c r="D58" s="200"/>
      <c r="E58" s="200"/>
      <c r="F58" s="72"/>
      <c r="G58" s="212"/>
      <c r="H58" s="212"/>
    </row>
    <row r="59" spans="1:8">
      <c r="A59" s="201"/>
      <c r="B59" s="72"/>
      <c r="C59" s="200"/>
      <c r="D59" s="200"/>
      <c r="E59" s="200"/>
      <c r="F59" s="72"/>
      <c r="G59" s="212"/>
      <c r="H59" s="212"/>
    </row>
    <row r="60" spans="1:8" ht="15.75">
      <c r="A60" s="73"/>
      <c r="B60" s="315">
        <v>2017</v>
      </c>
      <c r="C60" s="316"/>
      <c r="D60" s="316"/>
      <c r="E60" s="316"/>
      <c r="F60" s="315">
        <v>2018</v>
      </c>
      <c r="G60" s="316"/>
      <c r="H60" s="316"/>
    </row>
    <row r="61" spans="1:8" ht="15.75">
      <c r="A61" s="73"/>
      <c r="B61" s="93" t="str">
        <f>HLOOKUP(INDICE!$F$2,Nombres!$C$3:$E$857,34)</f>
        <v>1Q</v>
      </c>
      <c r="C61" s="93" t="str">
        <f>HLOOKUP(INDICE!$F$2,Nombres!$C$3:$E$857,35)</f>
        <v>2Q</v>
      </c>
      <c r="D61" s="93" t="str">
        <f>HLOOKUP(INDICE!$F$2,Nombres!$C$3:$E$857,36)</f>
        <v>3Q</v>
      </c>
      <c r="E61" s="93" t="str">
        <f>HLOOKUP(INDICE!$F$2,Nombres!$C$3:$E$857,37)</f>
        <v>4Q</v>
      </c>
      <c r="F61" s="93" t="str">
        <f>HLOOKUP(INDICE!$F$2,Nombres!$C$3:$E$857,34)</f>
        <v>1Q</v>
      </c>
      <c r="G61" s="93" t="str">
        <f>HLOOKUP(INDICE!$F$2,Nombres!$C$3:$E$857,35)</f>
        <v>2Q</v>
      </c>
      <c r="H61" s="93" t="str">
        <f>HLOOKUP(INDICE!$F$2,Nombres!$C$3:$E$857,36)</f>
        <v>3Q</v>
      </c>
    </row>
    <row r="62" spans="1:8">
      <c r="A62" s="139" t="str">
        <f>HLOOKUP(INDICE!$F$2,Nombres!$C$3:$E$853,38)</f>
        <v>Net interest income</v>
      </c>
      <c r="B62" s="202">
        <v>469.2470801479742</v>
      </c>
      <c r="C62" s="77">
        <v>509.57137206260109</v>
      </c>
      <c r="D62" s="77">
        <v>507.32847944867598</v>
      </c>
      <c r="E62" s="203">
        <v>521.22610835645753</v>
      </c>
      <c r="F62" s="139">
        <v>539.81511804089132</v>
      </c>
      <c r="G62" s="139">
        <v>556.18382868043989</v>
      </c>
      <c r="H62" s="139">
        <v>568.91976059866909</v>
      </c>
    </row>
    <row r="63" spans="1:8">
      <c r="A63" s="125" t="str">
        <f>HLOOKUP(INDICE!$F$2,Nombres!$C$3:$E$853,39)</f>
        <v>Net fees and commissions</v>
      </c>
      <c r="B63" s="204">
        <v>155.98539005837321</v>
      </c>
      <c r="C63" s="82">
        <v>150.12934210806776</v>
      </c>
      <c r="D63" s="82">
        <v>155.49777488684956</v>
      </c>
      <c r="E63" s="205">
        <v>150.6787071358192</v>
      </c>
      <c r="F63" s="216">
        <v>152.30840788186867</v>
      </c>
      <c r="G63" s="216">
        <v>153.57394707041425</v>
      </c>
      <c r="H63" s="216">
        <v>142.57254447771709</v>
      </c>
    </row>
    <row r="64" spans="1:8">
      <c r="A64" s="125" t="str">
        <f>HLOOKUP(INDICE!$F$2,Nombres!$C$3:$E$853,40)</f>
        <v>Net trading income</v>
      </c>
      <c r="B64" s="204">
        <v>29.466895746471206</v>
      </c>
      <c r="C64" s="82">
        <v>21.807290830501934</v>
      </c>
      <c r="D64" s="82">
        <v>22.854376443233903</v>
      </c>
      <c r="E64" s="205">
        <v>32.416104680016815</v>
      </c>
      <c r="F64" s="216">
        <v>25.216826137500775</v>
      </c>
      <c r="G64" s="216">
        <v>24.31938214127122</v>
      </c>
      <c r="H64" s="216">
        <v>19.782594171228009</v>
      </c>
    </row>
    <row r="65" spans="1:8" ht="17.25" customHeight="1">
      <c r="A65" s="125" t="str">
        <f>HLOOKUP(INDICE!$F$2,Nombres!$C$3:$E$853,95)</f>
        <v>Other operating income and expenses</v>
      </c>
      <c r="B65" s="204">
        <v>-10.572714764008346</v>
      </c>
      <c r="C65" s="82">
        <v>-10.668298792830264</v>
      </c>
      <c r="D65" s="82">
        <v>8.7799707486889478E-2</v>
      </c>
      <c r="E65" s="205">
        <v>23.642542518036706</v>
      </c>
      <c r="F65" s="216">
        <v>2.6691171716829416</v>
      </c>
      <c r="G65" s="216">
        <v>1.6612774132071628</v>
      </c>
      <c r="H65" s="216">
        <v>-4.5348925848901018</v>
      </c>
    </row>
    <row r="66" spans="1:8" ht="15.75" customHeight="1">
      <c r="A66" s="139" t="str">
        <f>HLOOKUP(INDICE!$F$2,Nombres!$C$3:$E$853,44)</f>
        <v>Gross income</v>
      </c>
      <c r="B66" s="202">
        <v>644.12665118881023</v>
      </c>
      <c r="C66" s="77">
        <v>670.83970620834054</v>
      </c>
      <c r="D66" s="77">
        <v>685.76843048624642</v>
      </c>
      <c r="E66" s="203">
        <v>727.96346269033018</v>
      </c>
      <c r="F66" s="139">
        <v>720.00946923194363</v>
      </c>
      <c r="G66" s="139">
        <v>735.73843530533236</v>
      </c>
      <c r="H66" s="139">
        <v>726.740006662724</v>
      </c>
    </row>
    <row r="67" spans="1:8">
      <c r="A67" s="125" t="str">
        <f>HLOOKUP(INDICE!$F$2,Nombres!$C$3:$E$853,45)</f>
        <v>Operating expenses</v>
      </c>
      <c r="B67" s="204">
        <v>-417.5212935651723</v>
      </c>
      <c r="C67" s="82">
        <v>-437.67820522283114</v>
      </c>
      <c r="D67" s="82">
        <v>-437.22113517355501</v>
      </c>
      <c r="E67" s="205">
        <v>-462.49597352515525</v>
      </c>
      <c r="F67" s="216">
        <v>-447.86504073861767</v>
      </c>
      <c r="G67" s="216">
        <v>-455.0812299324129</v>
      </c>
      <c r="H67" s="216">
        <v>-469.7609295489695</v>
      </c>
    </row>
    <row r="68" spans="1:8">
      <c r="A68" s="125" t="str">
        <f>HLOOKUP(INDICE!$F$2,Nombres!$C$3:$E$853,46)</f>
        <v xml:space="preserve">  Administration expenses</v>
      </c>
      <c r="B68" s="204">
        <v>-374.28893402830346</v>
      </c>
      <c r="C68" s="82">
        <v>-392.90018078484115</v>
      </c>
      <c r="D68" s="82">
        <v>-393.07878848738102</v>
      </c>
      <c r="E68" s="205">
        <v>-418.10212102196726</v>
      </c>
      <c r="F68" s="216">
        <v>-404.38547199833044</v>
      </c>
      <c r="G68" s="216">
        <v>-411.51909248744369</v>
      </c>
      <c r="H68" s="216">
        <v>-425.30242673422595</v>
      </c>
    </row>
    <row r="69" spans="1:8">
      <c r="A69" s="141" t="str">
        <f>HLOOKUP(INDICE!$F$2,Nombres!$C$3:$E$853,47)</f>
        <v xml:space="preserve">  Personnel expenses</v>
      </c>
      <c r="B69" s="204">
        <v>-240.12633306942143</v>
      </c>
      <c r="C69" s="82">
        <v>-255.36115123451179</v>
      </c>
      <c r="D69" s="82">
        <v>-251.14317322563682</v>
      </c>
      <c r="E69" s="205">
        <v>-265.19815181819268</v>
      </c>
      <c r="F69" s="216">
        <v>-259.23454926051761</v>
      </c>
      <c r="G69" s="216">
        <v>-259.56734599429694</v>
      </c>
      <c r="H69" s="216">
        <v>-265.26905823518553</v>
      </c>
    </row>
    <row r="70" spans="1:8">
      <c r="A70" s="141" t="str">
        <f>HLOOKUP(INDICE!$F$2,Nombres!$C$3:$E$853,48)</f>
        <v xml:space="preserve">  General and administrative expenses</v>
      </c>
      <c r="B70" s="204">
        <v>-134.16260095888202</v>
      </c>
      <c r="C70" s="82">
        <v>-137.5390295503293</v>
      </c>
      <c r="D70" s="82">
        <v>-141.9356152617442</v>
      </c>
      <c r="E70" s="205">
        <v>-152.90396920377458</v>
      </c>
      <c r="F70" s="216">
        <v>-145.15092273781286</v>
      </c>
      <c r="G70" s="216">
        <v>-151.95174649314677</v>
      </c>
      <c r="H70" s="216">
        <v>-160.03336849904036</v>
      </c>
    </row>
    <row r="71" spans="1:8" ht="13.5" customHeight="1">
      <c r="A71" s="125" t="str">
        <f>HLOOKUP(INDICE!$F$2,Nombres!$C$3:$E$853,49)</f>
        <v xml:space="preserve">  Depreciation</v>
      </c>
      <c r="B71" s="204">
        <v>-43.232359536868792</v>
      </c>
      <c r="C71" s="82">
        <v>-44.778024437990005</v>
      </c>
      <c r="D71" s="82">
        <v>-44.142346686174029</v>
      </c>
      <c r="E71" s="205">
        <v>-44.393852503188</v>
      </c>
      <c r="F71" s="216">
        <v>-43.479568740287213</v>
      </c>
      <c r="G71" s="216">
        <v>-43.562137444969224</v>
      </c>
      <c r="H71" s="216">
        <v>-44.458502814743568</v>
      </c>
    </row>
    <row r="72" spans="1:8" ht="14.25" customHeight="1">
      <c r="A72" s="139" t="str">
        <f>HLOOKUP(INDICE!$F$2,Nombres!$C$3:$E$853,50)</f>
        <v>Operating income</v>
      </c>
      <c r="B72" s="202">
        <v>226.60535762363804</v>
      </c>
      <c r="C72" s="77">
        <v>233.16150098550941</v>
      </c>
      <c r="D72" s="77">
        <v>248.54729531269126</v>
      </c>
      <c r="E72" s="203">
        <v>265.46748916517492</v>
      </c>
      <c r="F72" s="139">
        <v>272.1444284933259</v>
      </c>
      <c r="G72" s="139">
        <v>280.65720537291952</v>
      </c>
      <c r="H72" s="139">
        <v>256.97907711375461</v>
      </c>
    </row>
    <row r="73" spans="1:8">
      <c r="A73" s="125" t="str">
        <f>HLOOKUP(INDICE!$F$2,Nombres!$C$3:$E$853,51)</f>
        <v>Impaiment on financial assets not measured at fair value through profit or loss</v>
      </c>
      <c r="B73" s="204">
        <v>-65.128770504670143</v>
      </c>
      <c r="C73" s="82">
        <v>-37.675379879386426</v>
      </c>
      <c r="D73" s="82">
        <v>-80.97136209715849</v>
      </c>
      <c r="E73" s="205">
        <v>-44.209448145297578</v>
      </c>
      <c r="F73" s="216">
        <v>-20.915099258592562</v>
      </c>
      <c r="G73" s="216">
        <v>-42.733259312090077</v>
      </c>
      <c r="H73" s="216">
        <v>-74.074520519317431</v>
      </c>
    </row>
    <row r="74" spans="1:8" ht="16.5" customHeight="1">
      <c r="A74" s="125" t="str">
        <f>HLOOKUP(INDICE!$F$2,Nombres!$C$3:$E$853,160)</f>
        <v>Provisions or reversal of provisions and other results</v>
      </c>
      <c r="B74" s="204">
        <v>-3.4312073493464554</v>
      </c>
      <c r="C74" s="82">
        <v>-0.98161176275140039</v>
      </c>
      <c r="D74" s="82">
        <v>-12.112989164885661</v>
      </c>
      <c r="E74" s="205">
        <v>-17.394042634379293</v>
      </c>
      <c r="F74" s="216">
        <v>8.2235501097739938</v>
      </c>
      <c r="G74" s="216">
        <v>3.6091654933753765</v>
      </c>
      <c r="H74" s="216">
        <v>1.6759478868506299</v>
      </c>
    </row>
    <row r="75" spans="1:8" ht="12.75" customHeight="1">
      <c r="A75" s="139" t="str">
        <f>HLOOKUP(INDICE!$F$2,Nombres!$C$3:$E$853,54)</f>
        <v>Profit/(loss) before tax</v>
      </c>
      <c r="B75" s="202">
        <v>158.04537976962143</v>
      </c>
      <c r="C75" s="77">
        <v>194.50450934337158</v>
      </c>
      <c r="D75" s="77">
        <v>155.46294405064714</v>
      </c>
      <c r="E75" s="203">
        <v>203.86399838549806</v>
      </c>
      <c r="F75" s="139">
        <v>259.45287934450744</v>
      </c>
      <c r="G75" s="139">
        <v>241.53311155420482</v>
      </c>
      <c r="H75" s="139">
        <v>184.58050448128785</v>
      </c>
    </row>
    <row r="76" spans="1:8" ht="13.5" customHeight="1">
      <c r="A76" s="125" t="str">
        <f>HLOOKUP(INDICE!$F$2,Nombres!$C$3:$E$853,55)</f>
        <v>Income tax</v>
      </c>
      <c r="B76" s="204">
        <v>-42.211865110573605</v>
      </c>
      <c r="C76" s="82">
        <v>-51.295353570086007</v>
      </c>
      <c r="D76" s="82">
        <v>-36.787321699135248</v>
      </c>
      <c r="E76" s="205">
        <v>-118.68898014616987</v>
      </c>
      <c r="F76" s="216">
        <v>-57.959841639091245</v>
      </c>
      <c r="G76" s="216">
        <v>-51.321852490961504</v>
      </c>
      <c r="H76" s="216">
        <v>-35.425273409947231</v>
      </c>
    </row>
    <row r="77" spans="1:8" ht="12.75" customHeight="1">
      <c r="A77" s="139" t="str">
        <f>HLOOKUP(INDICE!$F$2,Nombres!$C$3:$E$853,56)</f>
        <v>Profit/(loss) for the year</v>
      </c>
      <c r="B77" s="202">
        <v>115.83351465904784</v>
      </c>
      <c r="C77" s="77">
        <v>143.20915577328557</v>
      </c>
      <c r="D77" s="77">
        <v>118.67562235151189</v>
      </c>
      <c r="E77" s="203">
        <v>85.175018239328182</v>
      </c>
      <c r="F77" s="139">
        <v>201.49303770541619</v>
      </c>
      <c r="G77" s="139">
        <v>190.21125906324326</v>
      </c>
      <c r="H77" s="139">
        <v>149.15523107134067</v>
      </c>
    </row>
    <row r="78" spans="1:8" ht="12.75" customHeight="1">
      <c r="A78" s="125" t="str">
        <f>HLOOKUP(INDICE!$F$2,Nombres!$C$3:$E$853,57)</f>
        <v>Non-controlling interests</v>
      </c>
      <c r="B78" s="228" t="s">
        <v>744</v>
      </c>
      <c r="C78" s="82" t="s">
        <v>744</v>
      </c>
      <c r="D78" s="82" t="s">
        <v>744</v>
      </c>
      <c r="E78" s="205" t="s">
        <v>744</v>
      </c>
      <c r="F78" s="216" t="s">
        <v>744</v>
      </c>
      <c r="G78" s="216" t="s">
        <v>744</v>
      </c>
      <c r="H78" s="216" t="s">
        <v>744</v>
      </c>
    </row>
    <row r="79" spans="1:8" ht="15" customHeight="1">
      <c r="A79" s="206" t="str">
        <f>HLOOKUP(INDICE!$F$2,Nombres!$C$3:$E$853,58)</f>
        <v>Net attributable profit</v>
      </c>
      <c r="B79" s="207">
        <v>115.83351465904784</v>
      </c>
      <c r="C79" s="208">
        <v>143.20915577328557</v>
      </c>
      <c r="D79" s="208">
        <v>118.67562235151189</v>
      </c>
      <c r="E79" s="209">
        <v>85.175018239328182</v>
      </c>
      <c r="F79" s="206">
        <v>201.49303770541619</v>
      </c>
      <c r="G79" s="206">
        <v>190.21125906324326</v>
      </c>
      <c r="H79" s="206">
        <v>149.15523107134067</v>
      </c>
    </row>
    <row r="80" spans="1:8" ht="15" customHeight="1">
      <c r="A80" s="72"/>
      <c r="B80" s="72"/>
      <c r="C80" s="72"/>
      <c r="D80" s="72"/>
      <c r="E80" s="72"/>
      <c r="F80" s="72"/>
      <c r="G80" s="72"/>
      <c r="H80" s="72"/>
    </row>
    <row r="81" spans="1:8" ht="17.25" customHeight="1">
      <c r="A81" s="65" t="str">
        <f>HLOOKUP(INDICE!$F$2,Nombres!$C$3:$E$853,94)</f>
        <v>Balance sheets</v>
      </c>
      <c r="B81" s="67"/>
      <c r="C81" s="199"/>
      <c r="D81" s="199"/>
      <c r="E81" s="199"/>
      <c r="F81" s="67"/>
      <c r="G81" s="67"/>
      <c r="H81" s="67"/>
    </row>
    <row r="82" spans="1:8">
      <c r="A82" s="68" t="str">
        <f>HLOOKUP(INDICE!$F$2,Nombres!$C$3:$E$853,31)</f>
        <v xml:space="preserve">(Constant million euros)    </v>
      </c>
      <c r="B82" s="72"/>
      <c r="C82" s="211"/>
      <c r="D82" s="211"/>
      <c r="E82" s="211"/>
      <c r="F82" s="72"/>
      <c r="G82" s="212"/>
      <c r="H82" s="212"/>
    </row>
    <row r="83" spans="1:8" ht="15.75">
      <c r="A83" s="72"/>
      <c r="B83" s="59">
        <v>42825</v>
      </c>
      <c r="C83" s="59">
        <v>42916</v>
      </c>
      <c r="D83" s="59">
        <v>43008</v>
      </c>
      <c r="E83" s="59">
        <v>43100</v>
      </c>
      <c r="F83" s="59">
        <v>43190</v>
      </c>
      <c r="G83" s="59">
        <v>43281</v>
      </c>
      <c r="H83" s="59">
        <v>43373</v>
      </c>
    </row>
    <row r="84" spans="1:8">
      <c r="A84" s="125" t="str">
        <f>HLOOKUP(INDICE!$F$2,Nombres!$C$3:$E$853,100)</f>
        <v>Cash, cash balances at central banks and other demand deposits</v>
      </c>
      <c r="B84" s="204">
        <v>5683.4380962842597</v>
      </c>
      <c r="C84" s="82">
        <v>4448.2105269772665</v>
      </c>
      <c r="D84" s="82">
        <v>4339.3165828016345</v>
      </c>
      <c r="E84" s="205">
        <v>7395.1866723264329</v>
      </c>
      <c r="F84" s="205">
        <v>5205.0596630383607</v>
      </c>
      <c r="G84" s="82">
        <v>4687.7256176057454</v>
      </c>
      <c r="H84" s="82">
        <v>4388.5138299999999</v>
      </c>
    </row>
    <row r="85" spans="1:8">
      <c r="A85" s="125" t="str">
        <f>HLOOKUP(INDICE!$F$2,Nombres!$C$3:$E$853,101)</f>
        <v xml:space="preserve">Financial assets designated at fair value </v>
      </c>
      <c r="B85" s="204">
        <v>13050.172403596111</v>
      </c>
      <c r="C85" s="82">
        <v>13094.575779939547</v>
      </c>
      <c r="D85" s="82">
        <v>11406.970790701333</v>
      </c>
      <c r="E85" s="205">
        <v>11466.334653668044</v>
      </c>
      <c r="F85" s="205">
        <v>10656.134396555221</v>
      </c>
      <c r="G85" s="82">
        <v>10708.537201563702</v>
      </c>
      <c r="H85" s="82">
        <v>10524.627112000002</v>
      </c>
    </row>
    <row r="86" spans="1:8">
      <c r="A86" s="125" t="str">
        <f>HLOOKUP(INDICE!$F$2,Nombres!$C$3:$E$853,406)</f>
        <v>Financial assets at amortized cost</v>
      </c>
      <c r="B86" s="204">
        <v>55980.195753969529</v>
      </c>
      <c r="C86" s="82">
        <v>55711.673739906706</v>
      </c>
      <c r="D86" s="82">
        <v>56009.720462383237</v>
      </c>
      <c r="E86" s="205">
        <v>56675.339982490026</v>
      </c>
      <c r="F86" s="205">
        <v>57973.783969658019</v>
      </c>
      <c r="G86" s="82">
        <v>59386.814739851005</v>
      </c>
      <c r="H86" s="82">
        <v>60939.669386000009</v>
      </c>
    </row>
    <row r="87" spans="1:8">
      <c r="A87" s="125" t="str">
        <f>HLOOKUP(INDICE!$F$2,Nombres!$C$3:$E$853,103)</f>
        <v xml:space="preserve">    of which loans and advances to customers</v>
      </c>
      <c r="B87" s="204">
        <v>54458.062718231755</v>
      </c>
      <c r="C87" s="82">
        <v>54208.509114016677</v>
      </c>
      <c r="D87" s="82">
        <v>54539.374008507672</v>
      </c>
      <c r="E87" s="205">
        <v>55652.773591369245</v>
      </c>
      <c r="F87" s="205">
        <v>56114.306062648757</v>
      </c>
      <c r="G87" s="82">
        <v>57378.090208825575</v>
      </c>
      <c r="H87" s="82">
        <v>58608.311750000008</v>
      </c>
    </row>
    <row r="88" spans="1:8">
      <c r="A88" s="125" t="str">
        <f>HLOOKUP(INDICE!$F$2,Nombres!$C$3:$E$853,105)</f>
        <v>Inter-area positions</v>
      </c>
      <c r="B88" s="204">
        <v>0</v>
      </c>
      <c r="C88" s="82">
        <v>0</v>
      </c>
      <c r="D88" s="82">
        <v>0</v>
      </c>
      <c r="E88" s="205">
        <v>0</v>
      </c>
      <c r="F88" s="205">
        <v>0</v>
      </c>
      <c r="G88" s="82">
        <v>0</v>
      </c>
      <c r="H88" s="82">
        <v>0</v>
      </c>
    </row>
    <row r="89" spans="1:8">
      <c r="A89" s="125" t="str">
        <f>HLOOKUP(INDICE!$F$2,Nombres!$C$3:$E$853,106)</f>
        <v>Tangible assets</v>
      </c>
      <c r="B89" s="204">
        <v>710.67475547825347</v>
      </c>
      <c r="C89" s="82">
        <v>696.03031006681704</v>
      </c>
      <c r="D89" s="82">
        <v>686.08276405658864</v>
      </c>
      <c r="E89" s="205">
        <v>682.07103835751593</v>
      </c>
      <c r="F89" s="205">
        <v>674.1745736252393</v>
      </c>
      <c r="G89" s="82">
        <v>665.95707816654146</v>
      </c>
      <c r="H89" s="82">
        <v>662.12744700000007</v>
      </c>
    </row>
    <row r="90" spans="1:8">
      <c r="A90" s="125" t="str">
        <f>HLOOKUP(INDICE!$F$2,Nombres!$C$3:$E$853,107)</f>
        <v>Other assets</v>
      </c>
      <c r="B90" s="204">
        <v>2384.7925442994847</v>
      </c>
      <c r="C90" s="82">
        <v>2430.634804832313</v>
      </c>
      <c r="D90" s="82">
        <v>2445.190642200298</v>
      </c>
      <c r="E90" s="205">
        <v>2286.0679311957401</v>
      </c>
      <c r="F90" s="205">
        <v>2422.2728693646027</v>
      </c>
      <c r="G90" s="82">
        <v>2268.3012485487839</v>
      </c>
      <c r="H90" s="82">
        <v>2383.3288110000003</v>
      </c>
    </row>
    <row r="91" spans="1:8">
      <c r="A91" s="206" t="str">
        <f>HLOOKUP(INDICE!$F$2,Nombres!$C$3:$E$853,108)</f>
        <v>Total assets / Liabilities and equity</v>
      </c>
      <c r="B91" s="207">
        <v>77809.273553627645</v>
      </c>
      <c r="C91" s="207">
        <v>76381.125161722652</v>
      </c>
      <c r="D91" s="207">
        <v>74887.281242143086</v>
      </c>
      <c r="E91" s="209">
        <v>78505.000278037754</v>
      </c>
      <c r="F91" s="209">
        <v>76931.425472241433</v>
      </c>
      <c r="G91" s="208">
        <v>77717.335885735796</v>
      </c>
      <c r="H91" s="208">
        <v>78898.266586000027</v>
      </c>
    </row>
    <row r="92" spans="1:8">
      <c r="A92" s="125" t="str">
        <f>HLOOKUP(INDICE!$F$2,Nombres!$C$3:$E$853,111)</f>
        <v>Financial liabilities held for trading and designated at fair value through profit or loss</v>
      </c>
      <c r="B92" s="204">
        <v>2459.8559126404175</v>
      </c>
      <c r="C92" s="82">
        <v>2263.8779145295644</v>
      </c>
      <c r="D92" s="82">
        <v>450.51551922290076</v>
      </c>
      <c r="E92" s="205">
        <v>144.31920202593363</v>
      </c>
      <c r="F92" s="205">
        <v>183.00563641695271</v>
      </c>
      <c r="G92" s="82">
        <v>391.65285052743593</v>
      </c>
      <c r="H92" s="82">
        <v>305.44399999999996</v>
      </c>
    </row>
    <row r="93" spans="1:8">
      <c r="A93" s="125" t="str">
        <f>HLOOKUP(INDICE!$F$2,Nombres!$C$3:$E$853,109)</f>
        <v>Deposits from central banks and credit institutions</v>
      </c>
      <c r="B93" s="204">
        <v>3490.0103905753595</v>
      </c>
      <c r="C93" s="82">
        <v>4263.480944170049</v>
      </c>
      <c r="D93" s="82">
        <v>3981.5505908764467</v>
      </c>
      <c r="E93" s="205">
        <v>3708.7457814187514</v>
      </c>
      <c r="F93" s="205">
        <v>3257.0419956397636</v>
      </c>
      <c r="G93" s="82">
        <v>3141.3928196740985</v>
      </c>
      <c r="H93" s="82">
        <v>4477.0981570000004</v>
      </c>
    </row>
    <row r="94" spans="1:8">
      <c r="A94" s="125" t="str">
        <f>HLOOKUP(INDICE!$F$2,Nombres!$C$3:$E$853,110)</f>
        <v>Deposits from customers</v>
      </c>
      <c r="B94" s="204">
        <v>58935.443837315368</v>
      </c>
      <c r="C94" s="82">
        <v>57750.674114549431</v>
      </c>
      <c r="D94" s="82">
        <v>58445.861559079662</v>
      </c>
      <c r="E94" s="205">
        <v>62996.237438599994</v>
      </c>
      <c r="F94" s="205">
        <v>62191.478070645644</v>
      </c>
      <c r="G94" s="82">
        <v>61134.146067968402</v>
      </c>
      <c r="H94" s="82">
        <v>60916.716243000003</v>
      </c>
    </row>
    <row r="95" spans="1:8">
      <c r="A95" s="125" t="str">
        <f>HLOOKUP(INDICE!$F$2,Nombres!$C$3:$E$853,112)</f>
        <v>Debt certificates</v>
      </c>
      <c r="B95" s="204">
        <v>2239.2408326996374</v>
      </c>
      <c r="C95" s="82">
        <v>2855.1995310681505</v>
      </c>
      <c r="D95" s="82">
        <v>2446.9585679955435</v>
      </c>
      <c r="E95" s="205">
        <v>2089.8934419685847</v>
      </c>
      <c r="F95" s="205">
        <v>2065.1462791762601</v>
      </c>
      <c r="G95" s="82">
        <v>3250.2254496679307</v>
      </c>
      <c r="H95" s="82">
        <v>3227.4259941699997</v>
      </c>
    </row>
    <row r="96" spans="1:8">
      <c r="A96" s="125" t="str">
        <f>HLOOKUP(INDICE!$F$2,Nombres!$C$3:$E$853,113)</f>
        <v>Inter-area positions</v>
      </c>
      <c r="B96" s="204">
        <v>1903.5305731588678</v>
      </c>
      <c r="C96" s="82">
        <v>616.17257511776654</v>
      </c>
      <c r="D96" s="82">
        <v>895.2757759734551</v>
      </c>
      <c r="E96" s="205">
        <v>1149.5055221843136</v>
      </c>
      <c r="F96" s="205">
        <v>1188.2970114605998</v>
      </c>
      <c r="G96" s="82">
        <v>1882.9993158277211</v>
      </c>
      <c r="H96" s="82">
        <v>1808.4480342700117</v>
      </c>
    </row>
    <row r="97" spans="1:8" ht="12" customHeight="1">
      <c r="A97" s="125" t="str">
        <f>HLOOKUP(INDICE!$F$2,Nombres!$C$3:$E$853,115)</f>
        <v>Other liabilities</v>
      </c>
      <c r="B97" s="204">
        <v>5714.8749632732652</v>
      </c>
      <c r="C97" s="82">
        <v>5779.5100967917906</v>
      </c>
      <c r="D97" s="82">
        <v>5944.4795393877575</v>
      </c>
      <c r="E97" s="205">
        <v>5626.4525058062509</v>
      </c>
      <c r="F97" s="205">
        <v>5246.5343184312587</v>
      </c>
      <c r="G97" s="82">
        <v>4979.8900321423462</v>
      </c>
      <c r="H97" s="82">
        <v>5059.9855265800088</v>
      </c>
    </row>
    <row r="98" spans="1:8" ht="12" customHeight="1">
      <c r="A98" s="125" t="str">
        <f>HLOOKUP(INDICE!$F$2,Nombres!$C$3:$E$853,116)</f>
        <v>Economic capital allocated</v>
      </c>
      <c r="B98" s="204">
        <v>3066.3170439647361</v>
      </c>
      <c r="C98" s="82">
        <v>2852.2099854959029</v>
      </c>
      <c r="D98" s="82">
        <v>2722.6396896073243</v>
      </c>
      <c r="E98" s="205">
        <v>2789.8463860339502</v>
      </c>
      <c r="F98" s="205">
        <v>2799.9221604709614</v>
      </c>
      <c r="G98" s="82">
        <v>2937.02934992786</v>
      </c>
      <c r="H98" s="82">
        <v>3103.1486309800002</v>
      </c>
    </row>
    <row r="99" spans="1:8" ht="12" customHeight="1">
      <c r="A99" s="125"/>
      <c r="B99" s="69"/>
      <c r="C99" s="82"/>
      <c r="D99" s="82"/>
      <c r="E99" s="82"/>
      <c r="F99" s="82"/>
      <c r="G99" s="82"/>
      <c r="H99" s="82"/>
    </row>
    <row r="100" spans="1:8" ht="18">
      <c r="A100" s="65" t="str">
        <f>HLOOKUP(INDICE!$F$2,Nombres!$C$3:$E$853,117)</f>
        <v>Relevant business indicators</v>
      </c>
      <c r="B100" s="67"/>
      <c r="C100" s="199"/>
      <c r="D100" s="199"/>
      <c r="E100" s="199"/>
      <c r="F100" s="67"/>
      <c r="G100" s="67"/>
      <c r="H100" s="67"/>
    </row>
    <row r="101" spans="1:8" ht="12" customHeight="1">
      <c r="A101" s="68" t="str">
        <f>HLOOKUP(INDICE!$F$2,Nombres!$C$3:$E$853,31)</f>
        <v xml:space="preserve">(Constant million euros)    </v>
      </c>
      <c r="B101" s="72"/>
      <c r="C101" s="72"/>
      <c r="D101" s="72"/>
      <c r="E101" s="72"/>
      <c r="F101" s="72"/>
      <c r="G101" s="212"/>
      <c r="H101" s="212"/>
    </row>
    <row r="102" spans="1:8" ht="15.75">
      <c r="A102" s="72"/>
      <c r="B102" s="59">
        <v>42825</v>
      </c>
      <c r="C102" s="59">
        <v>42916</v>
      </c>
      <c r="D102" s="59">
        <v>43008</v>
      </c>
      <c r="E102" s="59">
        <v>43100</v>
      </c>
      <c r="F102" s="59">
        <v>43190</v>
      </c>
      <c r="G102" s="59">
        <v>43281</v>
      </c>
      <c r="H102" s="59">
        <v>43373</v>
      </c>
    </row>
    <row r="103" spans="1:8">
      <c r="A103" s="125" t="str">
        <f>HLOOKUP(INDICE!$F$2,Nombres!$C$3:$E$853,118)</f>
        <v>Loans and advances to customers (gross) (*)</v>
      </c>
      <c r="B103" s="214">
        <v>55213.496739658251</v>
      </c>
      <c r="C103" s="69">
        <v>54940.562137755187</v>
      </c>
      <c r="D103" s="69">
        <v>55292.427343408403</v>
      </c>
      <c r="E103" s="69">
        <v>56392.556268148357</v>
      </c>
      <c r="F103" s="214">
        <v>56498.807332788507</v>
      </c>
      <c r="G103" s="69">
        <v>58042.892189522034</v>
      </c>
      <c r="H103" s="69">
        <f>+H49</f>
        <v>59280.463280999997</v>
      </c>
    </row>
    <row r="104" spans="1:8">
      <c r="A104" s="125" t="str">
        <f>HLOOKUP(INDICE!$F$2,Nombres!$C$3:$E$853,121)</f>
        <v>Customer deposits under management (*)</v>
      </c>
      <c r="B104" s="214">
        <v>58935.443837315368</v>
      </c>
      <c r="C104" s="69">
        <v>57750.674114549445</v>
      </c>
      <c r="D104" s="69">
        <v>58445.861559079662</v>
      </c>
      <c r="E104" s="69">
        <v>62996.237438599994</v>
      </c>
      <c r="F104" s="214">
        <v>62288.671038340348</v>
      </c>
      <c r="G104" s="69">
        <v>61240.60548835338</v>
      </c>
      <c r="H104" s="69">
        <v>60913.4025913</v>
      </c>
    </row>
    <row r="105" spans="1:8">
      <c r="A105" s="125" t="str">
        <f>HLOOKUP(INDICE!$F$2,Nombres!$C$3:$E$853,122)</f>
        <v>Mutual funds</v>
      </c>
      <c r="B105" s="213">
        <v>0</v>
      </c>
      <c r="C105" s="82">
        <v>0</v>
      </c>
      <c r="D105" s="82">
        <v>0</v>
      </c>
      <c r="E105" s="82">
        <v>0</v>
      </c>
      <c r="F105" s="213">
        <v>0</v>
      </c>
      <c r="G105" s="82">
        <v>0</v>
      </c>
      <c r="H105" s="82">
        <v>0</v>
      </c>
    </row>
    <row r="106" spans="1:8">
      <c r="A106" s="125" t="str">
        <f>HLOOKUP(INDICE!$F$2,Nombres!$C$3:$E$853,206)</f>
        <v>Pension funds</v>
      </c>
      <c r="B106" s="213">
        <v>0</v>
      </c>
      <c r="C106" s="82">
        <v>0</v>
      </c>
      <c r="D106" s="82">
        <v>0</v>
      </c>
      <c r="E106" s="82">
        <v>0</v>
      </c>
      <c r="F106" s="213">
        <v>0</v>
      </c>
      <c r="G106" s="82">
        <v>0</v>
      </c>
      <c r="H106" s="82">
        <v>0</v>
      </c>
    </row>
    <row r="107" spans="1:8">
      <c r="A107" s="125" t="str">
        <f>HLOOKUP(INDICE!$F$2,Nombres!$C$3:$E$853,308)</f>
        <v>Other off balance-sheet funds</v>
      </c>
      <c r="B107" s="213">
        <v>0</v>
      </c>
      <c r="C107" s="82">
        <v>0</v>
      </c>
      <c r="D107" s="82">
        <v>0</v>
      </c>
      <c r="E107" s="82">
        <v>0</v>
      </c>
      <c r="F107" s="213">
        <v>0</v>
      </c>
      <c r="G107" s="82">
        <v>0</v>
      </c>
      <c r="H107" s="82">
        <v>0</v>
      </c>
    </row>
    <row r="108" spans="1:8">
      <c r="A108" s="215" t="str">
        <f>HLOOKUP(INDICE!$F$2,Nombres!$C$3:$E$853,307)</f>
        <v xml:space="preserve">(*) Excluding repos. </v>
      </c>
      <c r="B108" s="212"/>
      <c r="C108" s="216"/>
      <c r="D108" s="216"/>
      <c r="E108" s="216"/>
      <c r="F108" s="216"/>
      <c r="G108" s="72"/>
      <c r="H108" s="72"/>
    </row>
    <row r="109" spans="1:8">
      <c r="A109" s="215" t="str">
        <f>HLOOKUP(INDICE!$F$2,Nombres!$C$3:$E$853,285)</f>
        <v xml:space="preserve"> </v>
      </c>
      <c r="B109" s="212"/>
      <c r="C109" s="216"/>
      <c r="D109" s="216"/>
      <c r="E109" s="216"/>
      <c r="F109" s="216"/>
      <c r="G109" s="72"/>
      <c r="H109" s="72"/>
    </row>
    <row r="110" spans="1:8">
      <c r="A110" s="72"/>
      <c r="B110" s="72"/>
      <c r="C110" s="72"/>
      <c r="D110" s="72"/>
      <c r="E110" s="72"/>
      <c r="F110" s="72"/>
      <c r="G110" s="72"/>
      <c r="H110" s="72"/>
    </row>
    <row r="111" spans="1:8" ht="18">
      <c r="A111" s="65" t="str">
        <f>HLOOKUP(INDICE!$F$2,Nombres!$C$3:$E$853,93)</f>
        <v xml:space="preserve">Income statement  </v>
      </c>
      <c r="B111" s="67"/>
      <c r="C111" s="199"/>
      <c r="D111" s="199"/>
      <c r="E111" s="199"/>
      <c r="F111" s="67"/>
      <c r="G111" s="67"/>
      <c r="H111" s="67"/>
    </row>
    <row r="112" spans="1:8">
      <c r="A112" s="68" t="str">
        <f>HLOOKUP(INDICE!$F$2,Nombres!$C$3:$E$853,322)</f>
        <v>(Million U.S. dollars)</v>
      </c>
      <c r="B112" s="72"/>
      <c r="C112" s="200"/>
      <c r="D112" s="200"/>
      <c r="E112" s="200"/>
      <c r="F112" s="72"/>
      <c r="G112" s="212"/>
      <c r="H112" s="212"/>
    </row>
    <row r="113" spans="1:8">
      <c r="A113" s="201"/>
      <c r="B113" s="72"/>
      <c r="C113" s="200"/>
      <c r="D113" s="200"/>
      <c r="E113" s="200"/>
      <c r="F113" s="72"/>
      <c r="G113" s="212"/>
      <c r="H113" s="212"/>
    </row>
    <row r="114" spans="1:8" ht="15.75">
      <c r="A114" s="73"/>
      <c r="B114" s="315">
        <v>2017</v>
      </c>
      <c r="C114" s="316"/>
      <c r="D114" s="316"/>
      <c r="E114" s="316"/>
      <c r="F114" s="315">
        <v>2018</v>
      </c>
      <c r="G114" s="316"/>
      <c r="H114" s="316"/>
    </row>
    <row r="115" spans="1:8" ht="15.75">
      <c r="A115" s="73"/>
      <c r="B115" s="93" t="str">
        <f>HLOOKUP(INDICE!$F$2,Nombres!$C$3:$E$857,34)</f>
        <v>1Q</v>
      </c>
      <c r="C115" s="93" t="str">
        <f>HLOOKUP(INDICE!$F$2,Nombres!$C$3:$E$857,35)</f>
        <v>2Q</v>
      </c>
      <c r="D115" s="93" t="str">
        <f>HLOOKUP(INDICE!$F$2,Nombres!$C$3:$E$857,36)</f>
        <v>3Q</v>
      </c>
      <c r="E115" s="93" t="str">
        <f>HLOOKUP(INDICE!$F$2,Nombres!$C$3:$E$857,37)</f>
        <v>4Q</v>
      </c>
      <c r="F115" s="93" t="str">
        <f>HLOOKUP(INDICE!$F$2,Nombres!$C$3:$E$857,34)</f>
        <v>1Q</v>
      </c>
      <c r="G115" s="93" t="str">
        <f>HLOOKUP(INDICE!$F$2,Nombres!$C$3:$E$857,35)</f>
        <v>2Q</v>
      </c>
      <c r="H115" s="93" t="str">
        <f>HLOOKUP(INDICE!$F$2,Nombres!$C$3:$E$857,36)</f>
        <v>3Q</v>
      </c>
    </row>
    <row r="116" spans="1:8">
      <c r="A116" s="139" t="str">
        <f>HLOOKUP(INDICE!$F$2,Nombres!$C$3:$E$853,38)</f>
        <v>Net interest income</v>
      </c>
      <c r="B116" s="202">
        <v>560.1596231876365</v>
      </c>
      <c r="C116" s="77">
        <v>608.29646583634735</v>
      </c>
      <c r="D116" s="77">
        <v>605.61716883020631</v>
      </c>
      <c r="E116" s="203">
        <v>622.15043044288984</v>
      </c>
      <c r="F116" s="139">
        <v>644.30777009287556</v>
      </c>
      <c r="G116" s="139">
        <v>663.82488235442088</v>
      </c>
      <c r="H116" s="139">
        <v>679.10480828769164</v>
      </c>
    </row>
    <row r="117" spans="1:8">
      <c r="A117" s="125" t="str">
        <f>HLOOKUP(INDICE!$F$2,Nombres!$C$3:$E$853,39)</f>
        <v>Net fees and commissions</v>
      </c>
      <c r="B117" s="204">
        <v>185.98387437963953</v>
      </c>
      <c r="C117" s="82">
        <v>179.05346977555411</v>
      </c>
      <c r="D117" s="82">
        <v>185.44421757096026</v>
      </c>
      <c r="E117" s="205">
        <v>179.67640319448694</v>
      </c>
      <c r="F117" s="216">
        <v>181.59641703424316</v>
      </c>
      <c r="G117" s="216">
        <v>183.09713019372711</v>
      </c>
      <c r="H117" s="216">
        <v>170.0774381698285</v>
      </c>
    </row>
    <row r="118" spans="1:8">
      <c r="A118" s="125" t="str">
        <f>HLOOKUP(INDICE!$F$2,Nombres!$C$3:$E$853,40)</f>
        <v>Net trading income</v>
      </c>
      <c r="B118" s="204">
        <v>34.957326021053248</v>
      </c>
      <c r="C118" s="82">
        <v>25.819652374336659</v>
      </c>
      <c r="D118" s="82">
        <v>27.155430570471964</v>
      </c>
      <c r="E118" s="205">
        <v>38.573318870032217</v>
      </c>
      <c r="F118" s="216">
        <v>29.861787421759157</v>
      </c>
      <c r="G118" s="216">
        <v>28.881706505161148</v>
      </c>
      <c r="H118" s="216">
        <v>23.566983390841933</v>
      </c>
    </row>
    <row r="119" spans="1:8">
      <c r="A119" s="125" t="str">
        <f>HLOOKUP(INDICE!$F$2,Nombres!$C$3:$E$853,95)</f>
        <v>Other operating income and expenses</v>
      </c>
      <c r="B119" s="204">
        <v>-12.682530222195119</v>
      </c>
      <c r="C119" s="82">
        <v>-12.811736291466836</v>
      </c>
      <c r="D119" s="82">
        <v>2.3945086919167746E-2</v>
      </c>
      <c r="E119" s="205">
        <v>28.167816202098571</v>
      </c>
      <c r="F119" s="216">
        <v>3.1171909503781885</v>
      </c>
      <c r="G119" s="216">
        <v>1.9113400619118253</v>
      </c>
      <c r="H119" s="216">
        <v>-5.4993447320541726</v>
      </c>
    </row>
    <row r="120" spans="1:8">
      <c r="A120" s="139" t="str">
        <f>HLOOKUP(INDICE!$F$2,Nombres!$C$3:$E$853,44)</f>
        <v>Gross income</v>
      </c>
      <c r="B120" s="202">
        <v>768.41829336613409</v>
      </c>
      <c r="C120" s="77">
        <v>800.35785169477128</v>
      </c>
      <c r="D120" s="77">
        <v>818.24076205855761</v>
      </c>
      <c r="E120" s="203">
        <v>868.56796870950757</v>
      </c>
      <c r="F120" s="139">
        <v>858.88316549925617</v>
      </c>
      <c r="G120" s="139">
        <v>877.71505911522081</v>
      </c>
      <c r="H120" s="139">
        <v>867.24988511630772</v>
      </c>
    </row>
    <row r="121" spans="1:8">
      <c r="A121" s="125" t="str">
        <f>HLOOKUP(INDICE!$F$2,Nombres!$C$3:$E$853,45)</f>
        <v>Operating expenses</v>
      </c>
      <c r="B121" s="204">
        <v>-498.26354441251129</v>
      </c>
      <c r="C121" s="82">
        <v>-522.39640233644309</v>
      </c>
      <c r="D121" s="82">
        <v>-521.78999265666084</v>
      </c>
      <c r="E121" s="205">
        <v>-551.9655912735758</v>
      </c>
      <c r="F121" s="216">
        <v>-534.46675804241954</v>
      </c>
      <c r="G121" s="216">
        <v>-543.087921095708</v>
      </c>
      <c r="H121" s="216">
        <v>-560.56046523103532</v>
      </c>
    </row>
    <row r="122" spans="1:8">
      <c r="A122" s="125" t="str">
        <f>HLOOKUP(INDICE!$F$2,Nombres!$C$3:$E$853,46)</f>
        <v xml:space="preserve">  Administration expenses</v>
      </c>
      <c r="B122" s="204">
        <v>-446.63946625462108</v>
      </c>
      <c r="C122" s="82">
        <v>-468.92879221053687</v>
      </c>
      <c r="D122" s="82">
        <v>-469.07978309292105</v>
      </c>
      <c r="E122" s="205">
        <v>-498.95592798093514</v>
      </c>
      <c r="F122" s="216">
        <v>-482.54841094585106</v>
      </c>
      <c r="G122" s="216">
        <v>-491.07162346753182</v>
      </c>
      <c r="H122" s="216">
        <v>-507.47457013892335</v>
      </c>
    </row>
    <row r="123" spans="1:8">
      <c r="A123" s="141" t="str">
        <f>HLOOKUP(INDICE!$F$2,Nombres!$C$3:$E$853,47)</f>
        <v xml:space="preserve">  Personnel expenses</v>
      </c>
      <c r="B123" s="204">
        <v>-286.56432349338127</v>
      </c>
      <c r="C123" s="82">
        <v>-304.76371210023103</v>
      </c>
      <c r="D123" s="82">
        <v>-299.72274816004887</v>
      </c>
      <c r="E123" s="205">
        <v>-316.48114280897437</v>
      </c>
      <c r="F123" s="216">
        <v>-309.34442754175302</v>
      </c>
      <c r="G123" s="216">
        <v>-309.73846947055756</v>
      </c>
      <c r="H123" s="216">
        <v>-316.53522876557008</v>
      </c>
    </row>
    <row r="124" spans="1:8">
      <c r="A124" s="141" t="str">
        <f>HLOOKUP(INDICE!$F$2,Nombres!$C$3:$E$853,48)</f>
        <v xml:space="preserve">  General and administrative expenses</v>
      </c>
      <c r="B124" s="204">
        <v>-160.07514276123985</v>
      </c>
      <c r="C124" s="82">
        <v>-164.16508011030581</v>
      </c>
      <c r="D124" s="82">
        <v>-169.35703493287224</v>
      </c>
      <c r="E124" s="205">
        <v>-182.47478517196072</v>
      </c>
      <c r="F124" s="216">
        <v>-173.2039834040981</v>
      </c>
      <c r="G124" s="216">
        <v>-181.33315399697432</v>
      </c>
      <c r="H124" s="216">
        <v>-190.93934137335322</v>
      </c>
    </row>
    <row r="125" spans="1:8">
      <c r="A125" s="125" t="str">
        <f>HLOOKUP(INDICE!$F$2,Nombres!$C$3:$E$853,49)</f>
        <v xml:space="preserve">  Depreciation</v>
      </c>
      <c r="B125" s="204">
        <v>-51.624078157890239</v>
      </c>
      <c r="C125" s="82">
        <v>-53.467610125906205</v>
      </c>
      <c r="D125" s="82">
        <v>-52.710209563739738</v>
      </c>
      <c r="E125" s="205">
        <v>-53.009663292640724</v>
      </c>
      <c r="F125" s="216">
        <v>-51.918347096568425</v>
      </c>
      <c r="G125" s="216">
        <v>-52.016297628176112</v>
      </c>
      <c r="H125" s="216">
        <v>-53.085895092111961</v>
      </c>
    </row>
    <row r="126" spans="1:8">
      <c r="A126" s="139" t="str">
        <f>HLOOKUP(INDICE!$F$2,Nombres!$C$3:$E$853,50)</f>
        <v>Operating income</v>
      </c>
      <c r="B126" s="202">
        <v>270.15474895362269</v>
      </c>
      <c r="C126" s="77">
        <v>277.96144935832831</v>
      </c>
      <c r="D126" s="77">
        <v>296.45076940189688</v>
      </c>
      <c r="E126" s="203">
        <v>316.60237743593177</v>
      </c>
      <c r="F126" s="139">
        <v>324.41640745683657</v>
      </c>
      <c r="G126" s="139">
        <v>334.62713801951304</v>
      </c>
      <c r="H126" s="139">
        <v>306.68941988527257</v>
      </c>
    </row>
    <row r="127" spans="1:8">
      <c r="A127" s="125" t="str">
        <f>HLOOKUP(INDICE!$F$2,Nombres!$C$3:$E$853,51)</f>
        <v>Impaiment on financial assets not measured at fair value through profit or loss</v>
      </c>
      <c r="B127" s="204">
        <v>-77.789481639084244</v>
      </c>
      <c r="C127" s="82">
        <v>-45.035532031306936</v>
      </c>
      <c r="D127" s="82">
        <v>-96.67753730051443</v>
      </c>
      <c r="E127" s="205">
        <v>-52.804597116922608</v>
      </c>
      <c r="F127" s="216">
        <v>-24.952688674581722</v>
      </c>
      <c r="G127" s="216">
        <v>-51.050205117213764</v>
      </c>
      <c r="H127" s="216">
        <v>-88.514971909859554</v>
      </c>
    </row>
    <row r="128" spans="1:8">
      <c r="A128" s="125" t="str">
        <f>HLOOKUP(INDICE!$F$2,Nombres!$C$3:$E$853,160)</f>
        <v>Provisions or reversal of provisions and other results</v>
      </c>
      <c r="B128" s="204">
        <v>-4.1653318514232263</v>
      </c>
      <c r="C128" s="82">
        <v>-1.0990919217088673</v>
      </c>
      <c r="D128" s="82">
        <v>-14.449089035565468</v>
      </c>
      <c r="E128" s="205">
        <v>-20.802450846484724</v>
      </c>
      <c r="F128" s="216">
        <v>9.7670840206341243</v>
      </c>
      <c r="G128" s="216">
        <v>4.380908182961547</v>
      </c>
      <c r="H128" s="216">
        <v>1.9742645247946218</v>
      </c>
    </row>
    <row r="129" spans="1:8">
      <c r="A129" s="139" t="str">
        <f>HLOOKUP(INDICE!$F$2,Nombres!$C$3:$E$853,54)</f>
        <v>Profit/(loss) before tax</v>
      </c>
      <c r="B129" s="202">
        <v>188.1999354631152</v>
      </c>
      <c r="C129" s="77">
        <v>231.82682540531246</v>
      </c>
      <c r="D129" s="77">
        <v>185.32414306581694</v>
      </c>
      <c r="E129" s="203">
        <v>242.99532947252445</v>
      </c>
      <c r="F129" s="139">
        <v>309.230802802889</v>
      </c>
      <c r="G129" s="139">
        <v>287.95784108526084</v>
      </c>
      <c r="H129" s="139">
        <v>220.14871250020758</v>
      </c>
    </row>
    <row r="130" spans="1:8">
      <c r="A130" s="125" t="str">
        <f>HLOOKUP(INDICE!$F$2,Nombres!$C$3:$E$853,55)</f>
        <v>Income tax</v>
      </c>
      <c r="B130" s="204">
        <v>-50.323048999214329</v>
      </c>
      <c r="C130" s="82">
        <v>-61.154811587796395</v>
      </c>
      <c r="D130" s="82">
        <v>-43.862883379151668</v>
      </c>
      <c r="E130" s="205">
        <v>-141.68577019832404</v>
      </c>
      <c r="F130" s="216">
        <v>-69.097075028913537</v>
      </c>
      <c r="G130" s="216">
        <v>-61.171903975527044</v>
      </c>
      <c r="H130" s="216">
        <v>-42.275621441733918</v>
      </c>
    </row>
    <row r="131" spans="1:8">
      <c r="A131" s="139" t="str">
        <f>HLOOKUP(INDICE!$F$2,Nombres!$C$3:$E$853,56)</f>
        <v>Profit/(loss) for the year</v>
      </c>
      <c r="B131" s="202">
        <v>137.87688646390089</v>
      </c>
      <c r="C131" s="77">
        <v>170.67201381751607</v>
      </c>
      <c r="D131" s="77">
        <v>141.46125968666524</v>
      </c>
      <c r="E131" s="203">
        <v>101.30955927420041</v>
      </c>
      <c r="F131" s="139">
        <v>240.13372777397552</v>
      </c>
      <c r="G131" s="139">
        <v>226.78593710973377</v>
      </c>
      <c r="H131" s="139">
        <v>177.87309105847368</v>
      </c>
    </row>
    <row r="132" spans="1:8">
      <c r="A132" s="125" t="str">
        <f>HLOOKUP(INDICE!$F$2,Nombres!$C$3:$E$853,57)</f>
        <v>Non-controlling interests</v>
      </c>
      <c r="B132" s="228" t="s">
        <v>744</v>
      </c>
      <c r="C132" s="82" t="s">
        <v>744</v>
      </c>
      <c r="D132" s="82" t="s">
        <v>744</v>
      </c>
      <c r="E132" s="205" t="s">
        <v>744</v>
      </c>
      <c r="F132" s="216" t="s">
        <v>744</v>
      </c>
      <c r="G132" s="216" t="s">
        <v>744</v>
      </c>
      <c r="H132" s="216" t="s">
        <v>744</v>
      </c>
    </row>
    <row r="133" spans="1:8">
      <c r="A133" s="206" t="str">
        <f>HLOOKUP(INDICE!$F$2,Nombres!$C$3:$E$853,58)</f>
        <v>Net attributable profit</v>
      </c>
      <c r="B133" s="207">
        <v>137.87688646390089</v>
      </c>
      <c r="C133" s="208">
        <v>170.67201381751607</v>
      </c>
      <c r="D133" s="208">
        <v>141.46125968666524</v>
      </c>
      <c r="E133" s="209">
        <v>101.30955927420041</v>
      </c>
      <c r="F133" s="206">
        <v>240.13372777397552</v>
      </c>
      <c r="G133" s="206">
        <v>226.78593710973377</v>
      </c>
      <c r="H133" s="206">
        <v>177.87309105847368</v>
      </c>
    </row>
    <row r="134" spans="1:8">
      <c r="A134" s="72"/>
      <c r="B134" s="72"/>
      <c r="C134" s="72"/>
      <c r="D134" s="72"/>
      <c r="E134" s="72"/>
      <c r="F134" s="72"/>
      <c r="G134" s="72"/>
      <c r="H134" s="72"/>
    </row>
    <row r="135" spans="1:8" ht="18">
      <c r="A135" s="65" t="str">
        <f>HLOOKUP(INDICE!$F$2,Nombres!$C$3:$E$853,94)</f>
        <v>Balance sheets</v>
      </c>
      <c r="B135" s="67"/>
      <c r="C135" s="199"/>
      <c r="D135" s="199"/>
      <c r="E135" s="199"/>
      <c r="F135" s="67"/>
      <c r="G135" s="67"/>
      <c r="H135" s="67"/>
    </row>
    <row r="136" spans="1:8">
      <c r="A136" s="68" t="str">
        <f>HLOOKUP(INDICE!$F$2,Nombres!$C$3:$E$853,322)</f>
        <v>(Million U.S. dollars)</v>
      </c>
      <c r="B136" s="72"/>
      <c r="C136" s="211"/>
      <c r="D136" s="211"/>
      <c r="E136" s="211"/>
      <c r="F136" s="72"/>
      <c r="G136" s="212"/>
      <c r="H136" s="212"/>
    </row>
    <row r="137" spans="1:8" ht="15.75">
      <c r="A137" s="72"/>
      <c r="B137" s="59">
        <v>42825</v>
      </c>
      <c r="C137" s="59">
        <v>42916</v>
      </c>
      <c r="D137" s="59">
        <v>43008</v>
      </c>
      <c r="E137" s="59">
        <v>43100</v>
      </c>
      <c r="F137" s="59">
        <v>43190</v>
      </c>
      <c r="G137" s="59">
        <v>43281</v>
      </c>
      <c r="H137" s="59">
        <v>43373</v>
      </c>
    </row>
    <row r="138" spans="1:8">
      <c r="A138" s="125" t="str">
        <f>HLOOKUP(INDICE!$F$2,Nombres!$C$3:$E$853,100)</f>
        <v>Cash, cash balances at central banks and other demand deposits</v>
      </c>
      <c r="B138" s="204">
        <v>6579.1498771603829</v>
      </c>
      <c r="C138" s="82">
        <v>5149.2500219680906</v>
      </c>
      <c r="D138" s="82">
        <v>5023.1943550795904</v>
      </c>
      <c r="E138" s="205">
        <v>8560.6706121465068</v>
      </c>
      <c r="F138" s="82">
        <v>6025.3788398047373</v>
      </c>
      <c r="G138" s="82">
        <v>5426.51277250577</v>
      </c>
      <c r="H138" s="82">
        <v>5080.1451052027205</v>
      </c>
    </row>
    <row r="139" spans="1:8">
      <c r="A139" s="125" t="str">
        <f>HLOOKUP(INDICE!$F$2,Nombres!$C$3:$E$853,101)</f>
        <v xml:space="preserve">Financial assets designated at fair value </v>
      </c>
      <c r="B139" s="204">
        <v>15106.884021869515</v>
      </c>
      <c r="C139" s="82">
        <v>15158.285385457239</v>
      </c>
      <c r="D139" s="82">
        <v>13204.713274783451</v>
      </c>
      <c r="E139" s="205">
        <v>13273.432902784774</v>
      </c>
      <c r="F139" s="82">
        <v>12335.544809036715</v>
      </c>
      <c r="G139" s="82">
        <v>12396.206313973282</v>
      </c>
      <c r="H139" s="82">
        <v>12183.311931618235</v>
      </c>
    </row>
    <row r="140" spans="1:8">
      <c r="A140" s="125" t="s">
        <v>128</v>
      </c>
      <c r="B140" s="204">
        <v>64802.693682708152</v>
      </c>
      <c r="C140" s="82">
        <v>64491.852507717384</v>
      </c>
      <c r="D140" s="82">
        <v>64836.871495229803</v>
      </c>
      <c r="E140" s="205">
        <v>65607.392878546918</v>
      </c>
      <c r="F140" s="82">
        <v>67110.472080599109</v>
      </c>
      <c r="G140" s="82">
        <v>68746.196981731919</v>
      </c>
      <c r="H140" s="82">
        <v>70543.782049323025</v>
      </c>
    </row>
    <row r="141" spans="1:8">
      <c r="A141" s="125" t="str">
        <f>HLOOKUP(INDICE!$F$2,Nombres!$C$3:$E$853,103)</f>
        <v xml:space="preserve">    of which loans and advances to customers</v>
      </c>
      <c r="B141" s="204">
        <v>63040.671961798907</v>
      </c>
      <c r="C141" s="82">
        <v>62751.788624512279</v>
      </c>
      <c r="D141" s="82">
        <v>63134.797939132994</v>
      </c>
      <c r="E141" s="205">
        <v>64423.669675697391</v>
      </c>
      <c r="F141" s="82">
        <v>64957.939821739688</v>
      </c>
      <c r="G141" s="82">
        <v>66420.896780048512</v>
      </c>
      <c r="H141" s="82">
        <v>67845.001655368484</v>
      </c>
    </row>
    <row r="142" spans="1:8">
      <c r="A142" s="125" t="str">
        <f>HLOOKUP(INDICE!$F$2,Nombres!$C$3:$E$853,105)</f>
        <v>Inter-area positions</v>
      </c>
      <c r="B142" s="213">
        <v>0</v>
      </c>
      <c r="C142" s="82">
        <v>0</v>
      </c>
      <c r="D142" s="82">
        <v>0</v>
      </c>
      <c r="E142" s="205">
        <v>0</v>
      </c>
      <c r="F142" s="82">
        <v>0</v>
      </c>
      <c r="G142" s="82">
        <v>0</v>
      </c>
      <c r="H142" s="82">
        <v>0</v>
      </c>
    </row>
    <row r="143" spans="1:8">
      <c r="A143" s="125" t="str">
        <f>HLOOKUP(INDICE!$F$2,Nombres!$C$3:$E$853,106)</f>
        <v>Tangible assets</v>
      </c>
      <c r="B143" s="214">
        <v>822.67733913783491</v>
      </c>
      <c r="C143" s="82">
        <v>805.72492413876512</v>
      </c>
      <c r="D143" s="82">
        <v>794.20964148722555</v>
      </c>
      <c r="E143" s="205">
        <v>789.56566645079272</v>
      </c>
      <c r="F143" s="82">
        <v>780.42471618561353</v>
      </c>
      <c r="G143" s="82">
        <v>770.91214064212261</v>
      </c>
      <c r="H143" s="82">
        <v>766.47895829860533</v>
      </c>
    </row>
    <row r="144" spans="1:8">
      <c r="A144" s="125" t="str">
        <f>HLOOKUP(INDICE!$F$2,Nombres!$C$3:$E$853,107)</f>
        <v>Other assets</v>
      </c>
      <c r="B144" s="204">
        <v>2760.6366620125168</v>
      </c>
      <c r="C144" s="82">
        <v>2813.7036784282486</v>
      </c>
      <c r="D144" s="82">
        <v>2830.5535207260218</v>
      </c>
      <c r="E144" s="205">
        <v>2646.3530162385168</v>
      </c>
      <c r="F144" s="82">
        <v>2804.0238990810999</v>
      </c>
      <c r="G144" s="82">
        <v>2625.7862983515593</v>
      </c>
      <c r="H144" s="82">
        <v>2758.9422438461975</v>
      </c>
    </row>
    <row r="145" spans="1:8">
      <c r="A145" s="206" t="str">
        <f>HLOOKUP(INDICE!$F$2,Nombres!$C$3:$E$853,108)</f>
        <v>Total assets / Liabilities and equity</v>
      </c>
      <c r="B145" s="207">
        <v>90072.041582888414</v>
      </c>
      <c r="C145" s="208">
        <v>88418.816517709725</v>
      </c>
      <c r="D145" s="208">
        <v>86689.542287306089</v>
      </c>
      <c r="E145" s="209">
        <v>90877.415076167512</v>
      </c>
      <c r="F145" s="208">
        <v>89055.844344707279</v>
      </c>
      <c r="G145" s="208">
        <v>89965.614507204649</v>
      </c>
      <c r="H145" s="208">
        <v>91332.660288288782</v>
      </c>
    </row>
    <row r="146" spans="1:8">
      <c r="A146" s="125" t="str">
        <f>HLOOKUP(INDICE!$F$2,Nombres!$C$3:$E$853,111)</f>
        <v>Financial liabilities held for trading and designated at fair value through profit or loss</v>
      </c>
      <c r="B146" s="204">
        <v>2847.5300427853917</v>
      </c>
      <c r="C146" s="82">
        <v>2620.6658453834489</v>
      </c>
      <c r="D146" s="82">
        <v>521.51691858701076</v>
      </c>
      <c r="E146" s="205">
        <v>167.06395744884986</v>
      </c>
      <c r="F146" s="82">
        <v>211.84738708413522</v>
      </c>
      <c r="G146" s="82">
        <v>453.37747324488805</v>
      </c>
      <c r="H146" s="82">
        <v>353.58207849456392</v>
      </c>
    </row>
    <row r="147" spans="1:8">
      <c r="A147" s="125" t="str">
        <f>HLOOKUP(INDICE!$F$2,Nombres!$C$3:$E$853,109)</f>
        <v>Deposits from central banks and credit institutions</v>
      </c>
      <c r="B147" s="204">
        <v>4040.0372175169932</v>
      </c>
      <c r="C147" s="82">
        <v>4935.4069939550682</v>
      </c>
      <c r="D147" s="82">
        <v>4609.0443209012228</v>
      </c>
      <c r="E147" s="205">
        <v>4293.2453805017867</v>
      </c>
      <c r="F147" s="82">
        <v>3770.3529241444912</v>
      </c>
      <c r="G147" s="82">
        <v>3636.4773986336822</v>
      </c>
      <c r="H147" s="82">
        <v>5182.6903523272395</v>
      </c>
    </row>
    <row r="148" spans="1:8">
      <c r="A148" s="125" t="str">
        <f>HLOOKUP(INDICE!$F$2,Nombres!$C$3:$E$853,110)</f>
        <v>Deposits from customers</v>
      </c>
      <c r="B148" s="204">
        <v>68223.689871130569</v>
      </c>
      <c r="C148" s="82">
        <v>66852.200036290116</v>
      </c>
      <c r="D148" s="82">
        <v>67656.949258996479</v>
      </c>
      <c r="E148" s="205">
        <v>72924.465927886122</v>
      </c>
      <c r="F148" s="82">
        <v>71992.876209282156</v>
      </c>
      <c r="G148" s="82">
        <v>70768.90832264685</v>
      </c>
      <c r="H148" s="82">
        <v>70517.211483163861</v>
      </c>
    </row>
    <row r="149" spans="1:8">
      <c r="A149" s="125" t="str">
        <f>HLOOKUP(INDICE!$F$2,Nombres!$C$3:$E$853,112)</f>
        <v>Debt certificates</v>
      </c>
      <c r="B149" s="204">
        <v>2592.1459510608684</v>
      </c>
      <c r="C149" s="82">
        <v>3305.1799502094686</v>
      </c>
      <c r="D149" s="82">
        <v>2832.6000722291024</v>
      </c>
      <c r="E149" s="205">
        <v>2419.2613606533782</v>
      </c>
      <c r="F149" s="82">
        <v>2390.6140365712113</v>
      </c>
      <c r="G149" s="82">
        <v>3762.4620882044351</v>
      </c>
      <c r="H149" s="82">
        <v>3736.0694307500326</v>
      </c>
    </row>
    <row r="150" spans="1:8">
      <c r="A150" s="125" t="str">
        <f>HLOOKUP(INDICE!$F$2,Nombres!$C$3:$E$853,113)</f>
        <v>Inter-area positions</v>
      </c>
      <c r="B150" s="204">
        <v>2203.5276402072427</v>
      </c>
      <c r="C150" s="82">
        <v>713.28158294642458</v>
      </c>
      <c r="D150" s="82">
        <v>1036.371543374654</v>
      </c>
      <c r="E150" s="205">
        <v>1330.667984229216</v>
      </c>
      <c r="F150" s="82">
        <v>1375.5730254354892</v>
      </c>
      <c r="G150" s="82">
        <v>2179.7606497236557</v>
      </c>
      <c r="H150" s="82">
        <v>2093.4600607855828</v>
      </c>
    </row>
    <row r="151" spans="1:8">
      <c r="A151" s="125" t="str">
        <f>HLOOKUP(INDICE!$F$2,Nombres!$C$3:$E$853,115)</f>
        <v>Other liabilities</v>
      </c>
      <c r="B151" s="204">
        <v>6615.5412051004632</v>
      </c>
      <c r="C151" s="82">
        <v>6690.3628576890023</v>
      </c>
      <c r="D151" s="82">
        <v>6881.3315406592737</v>
      </c>
      <c r="E151" s="205">
        <v>6513.1833382024906</v>
      </c>
      <c r="F151" s="82">
        <v>6073.3899150220168</v>
      </c>
      <c r="G151" s="82">
        <v>5764.7223983422646</v>
      </c>
      <c r="H151" s="82">
        <v>5857.4409699996349</v>
      </c>
    </row>
    <row r="152" spans="1:8">
      <c r="A152" s="125" t="str">
        <f>HLOOKUP(INDICE!$F$2,Nombres!$C$3:$E$853,116)</f>
        <v>Economic capital allocated</v>
      </c>
      <c r="B152" s="204">
        <v>3549.5696550868852</v>
      </c>
      <c r="C152" s="82">
        <v>3301.7192512362049</v>
      </c>
      <c r="D152" s="82">
        <v>3151.7286325583482</v>
      </c>
      <c r="E152" s="205">
        <v>3229.5271272456871</v>
      </c>
      <c r="F152" s="82">
        <v>3241.1908471677707</v>
      </c>
      <c r="G152" s="82">
        <v>3399.9061764088692</v>
      </c>
      <c r="H152" s="82">
        <v>3592.2059127678685</v>
      </c>
    </row>
    <row r="153" spans="1:8">
      <c r="A153" s="125"/>
      <c r="B153" s="69"/>
      <c r="C153" s="82"/>
      <c r="D153" s="82"/>
      <c r="E153" s="82"/>
      <c r="F153" s="82"/>
      <c r="G153" s="82"/>
      <c r="H153" s="82"/>
    </row>
    <row r="154" spans="1:8" ht="18">
      <c r="A154" s="65" t="str">
        <f>HLOOKUP(INDICE!$F$2,Nombres!$C$3:$E$853,117)</f>
        <v>Relevant business indicators</v>
      </c>
      <c r="B154" s="67"/>
      <c r="C154" s="199"/>
      <c r="D154" s="199"/>
      <c r="E154" s="199"/>
      <c r="F154" s="67"/>
      <c r="G154" s="67"/>
      <c r="H154" s="67"/>
    </row>
    <row r="155" spans="1:8">
      <c r="A155" s="68" t="str">
        <f>HLOOKUP(INDICE!$F$2,Nombres!$C$3:$E$853,322)</f>
        <v>(Million U.S. dollars)</v>
      </c>
      <c r="B155" s="72"/>
      <c r="C155" s="72"/>
      <c r="D155" s="72"/>
      <c r="E155" s="72"/>
      <c r="F155" s="72"/>
      <c r="G155" s="212"/>
      <c r="H155" s="212"/>
    </row>
    <row r="156" spans="1:8" ht="15.75">
      <c r="A156" s="72"/>
      <c r="B156" s="59">
        <v>42825</v>
      </c>
      <c r="C156" s="59">
        <v>42916</v>
      </c>
      <c r="D156" s="59">
        <v>43008</v>
      </c>
      <c r="E156" s="59">
        <v>43100</v>
      </c>
      <c r="F156" s="59">
        <v>43190</v>
      </c>
      <c r="G156" s="59">
        <v>43281</v>
      </c>
      <c r="H156" s="59">
        <v>43373</v>
      </c>
    </row>
    <row r="157" spans="1:8">
      <c r="A157" s="125" t="str">
        <f>HLOOKUP(INDICE!$F$2,Nombres!$C$3:$E$853,118)</f>
        <v>Loans and advances to customers (gross) (*)</v>
      </c>
      <c r="B157" s="214">
        <v>63915.162642452276</v>
      </c>
      <c r="C157" s="69">
        <v>63599.213454273849</v>
      </c>
      <c r="D157" s="69">
        <v>64006.532736252804</v>
      </c>
      <c r="E157" s="69">
        <v>65280.042354453006</v>
      </c>
      <c r="F157" s="214">
        <v>65403.03862309055</v>
      </c>
      <c r="G157" s="69">
        <v>67190.471779465603</v>
      </c>
      <c r="H157" s="69">
        <v>68623.084496721684</v>
      </c>
    </row>
    <row r="158" spans="1:8">
      <c r="A158" s="125" t="str">
        <f>HLOOKUP(INDICE!$F$2,Nombres!$C$3:$E$853,121)</f>
        <v>Customer deposits under management (*)</v>
      </c>
      <c r="B158" s="214">
        <v>68223.689871130569</v>
      </c>
      <c r="C158" s="69">
        <v>66852.200036290131</v>
      </c>
      <c r="D158" s="69">
        <v>67656.949258996479</v>
      </c>
      <c r="E158" s="69">
        <v>72924.465927886122</v>
      </c>
      <c r="F158" s="214">
        <v>72105.386821808672</v>
      </c>
      <c r="G158" s="69">
        <v>70769</v>
      </c>
      <c r="H158" s="69">
        <v>70513.375598826664</v>
      </c>
    </row>
    <row r="159" spans="1:8">
      <c r="A159" s="125" t="str">
        <f>HLOOKUP(INDICE!$F$2,Nombres!$C$3:$E$853,122)</f>
        <v>Mutual funds</v>
      </c>
      <c r="B159" s="213">
        <v>0</v>
      </c>
      <c r="C159" s="82">
        <v>0</v>
      </c>
      <c r="D159" s="82">
        <v>0</v>
      </c>
      <c r="E159" s="82">
        <v>0</v>
      </c>
      <c r="F159" s="213">
        <v>0</v>
      </c>
      <c r="G159" s="82" t="s">
        <v>744</v>
      </c>
      <c r="H159" s="82" t="s">
        <v>744</v>
      </c>
    </row>
    <row r="160" spans="1:8">
      <c r="A160" s="125" t="str">
        <f>HLOOKUP(INDICE!$F$2,Nombres!$C$3:$E$853,206)</f>
        <v>Pension funds</v>
      </c>
      <c r="B160" s="213">
        <v>0</v>
      </c>
      <c r="C160" s="82">
        <v>0</v>
      </c>
      <c r="D160" s="82">
        <v>0</v>
      </c>
      <c r="E160" s="82">
        <v>0</v>
      </c>
      <c r="F160" s="213">
        <v>0</v>
      </c>
      <c r="G160" s="82" t="s">
        <v>744</v>
      </c>
      <c r="H160" s="82" t="s">
        <v>744</v>
      </c>
    </row>
    <row r="161" spans="1:8">
      <c r="A161" s="125" t="str">
        <f>HLOOKUP(INDICE!$F$2,Nombres!$C$3:$E$853,308)</f>
        <v>Other off balance-sheet funds</v>
      </c>
      <c r="B161" s="213">
        <v>0</v>
      </c>
      <c r="C161" s="82">
        <v>0</v>
      </c>
      <c r="D161" s="82">
        <v>0</v>
      </c>
      <c r="E161" s="82">
        <v>0</v>
      </c>
      <c r="F161" s="213">
        <v>0</v>
      </c>
      <c r="G161" s="82" t="s">
        <v>744</v>
      </c>
      <c r="H161" s="82" t="s">
        <v>744</v>
      </c>
    </row>
    <row r="162" spans="1:8" ht="18" customHeight="1">
      <c r="A162" s="246" t="str">
        <f>HLOOKUP(INDICE!$F$2,Nombres!$C$3:$E$853,307)</f>
        <v xml:space="preserve">(*) Excluding repos. </v>
      </c>
      <c r="B162" s="212"/>
      <c r="C162" s="216"/>
      <c r="D162" s="216"/>
      <c r="E162" s="216"/>
      <c r="F162" s="216"/>
      <c r="G162" s="72"/>
      <c r="H162" s="72"/>
    </row>
    <row r="163" spans="1:8" ht="18" customHeight="1">
      <c r="A163" s="215" t="str">
        <f>HLOOKUP(INDICE!$F$2,Nombres!$C$3:$E$853,285)</f>
        <v xml:space="preserve"> </v>
      </c>
      <c r="B163" s="212"/>
      <c r="C163" s="216"/>
      <c r="D163" s="216"/>
      <c r="E163" s="216"/>
      <c r="F163" s="216"/>
      <c r="G163" s="72"/>
      <c r="H163" s="72"/>
    </row>
    <row r="164" spans="1:8">
      <c r="A164" s="72"/>
      <c r="B164" s="72"/>
      <c r="C164" s="72"/>
      <c r="D164" s="72"/>
      <c r="E164" s="72"/>
      <c r="F164" s="72"/>
      <c r="G164" s="72"/>
      <c r="H164" s="72"/>
    </row>
    <row r="165" spans="1:8">
      <c r="A165" s="72"/>
      <c r="B165" s="72"/>
      <c r="C165" s="72"/>
      <c r="D165" s="72"/>
      <c r="E165" s="72"/>
      <c r="F165" s="72"/>
      <c r="G165" s="72"/>
      <c r="H165" s="72"/>
    </row>
    <row r="166" spans="1:8">
      <c r="A166" s="72"/>
      <c r="B166" s="72"/>
      <c r="C166" s="72"/>
      <c r="D166" s="72"/>
      <c r="E166" s="72"/>
      <c r="F166" s="72"/>
      <c r="G166" s="72"/>
      <c r="H166" s="72"/>
    </row>
    <row r="167" spans="1:8">
      <c r="A167" s="72"/>
      <c r="B167" s="72"/>
      <c r="C167" s="72"/>
      <c r="D167" s="72"/>
      <c r="E167" s="72"/>
      <c r="F167" s="72"/>
      <c r="G167" s="72"/>
      <c r="H167" s="72"/>
    </row>
    <row r="168" spans="1:8">
      <c r="A168" s="72"/>
      <c r="B168" s="72"/>
      <c r="C168" s="72"/>
      <c r="D168" s="72"/>
      <c r="E168" s="72"/>
      <c r="F168" s="72"/>
      <c r="G168" s="72"/>
      <c r="H168" s="72"/>
    </row>
    <row r="169" spans="1:8">
      <c r="A169" s="72"/>
      <c r="B169" s="72"/>
      <c r="C169" s="72"/>
      <c r="D169" s="72"/>
      <c r="E169" s="72"/>
      <c r="F169" s="72"/>
      <c r="G169" s="72"/>
      <c r="H169" s="72"/>
    </row>
  </sheetData>
  <mergeCells count="6">
    <mergeCell ref="B6:E6"/>
    <mergeCell ref="F6:H6"/>
    <mergeCell ref="B60:E60"/>
    <mergeCell ref="F60:H60"/>
    <mergeCell ref="B114:E114"/>
    <mergeCell ref="F114:H11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5"/>
  <sheetViews>
    <sheetView showGridLines="0" zoomScale="85" zoomScaleNormal="85" workbookViewId="0"/>
  </sheetViews>
  <sheetFormatPr baseColWidth="10" defaultRowHeight="15"/>
  <cols>
    <col min="1" max="1" width="66.7109375" style="217" customWidth="1"/>
    <col min="2" max="2" width="11.28515625" bestFit="1" customWidth="1"/>
    <col min="3" max="5" width="11.28515625" style="218" bestFit="1" customWidth="1"/>
    <col min="6" max="6" width="11.28515625" bestFit="1" customWidth="1"/>
    <col min="7" max="7" width="12" customWidth="1"/>
    <col min="8" max="8" width="10.7109375" customWidth="1"/>
    <col min="9" max="9" width="11.42578125" style="86"/>
    <col min="256" max="256" width="66.7109375" customWidth="1"/>
    <col min="257" max="261" width="11.28515625" bestFit="1" customWidth="1"/>
    <col min="262" max="262" width="12" customWidth="1"/>
    <col min="263" max="264" width="10.7109375" customWidth="1"/>
    <col min="512" max="512" width="66.7109375" customWidth="1"/>
    <col min="513" max="517" width="11.28515625" bestFit="1" customWidth="1"/>
    <col min="518" max="518" width="12" customWidth="1"/>
    <col min="519" max="520" width="10.7109375" customWidth="1"/>
    <col min="768" max="768" width="66.7109375" customWidth="1"/>
    <col min="769" max="773" width="11.28515625" bestFit="1" customWidth="1"/>
    <col min="774" max="774" width="12" customWidth="1"/>
    <col min="775" max="776" width="10.7109375" customWidth="1"/>
    <col min="1024" max="1024" width="66.7109375" customWidth="1"/>
    <col min="1025" max="1029" width="11.28515625" bestFit="1" customWidth="1"/>
    <col min="1030" max="1030" width="12" customWidth="1"/>
    <col min="1031" max="1032" width="10.7109375" customWidth="1"/>
    <col min="1280" max="1280" width="66.7109375" customWidth="1"/>
    <col min="1281" max="1285" width="11.28515625" bestFit="1" customWidth="1"/>
    <col min="1286" max="1286" width="12" customWidth="1"/>
    <col min="1287" max="1288" width="10.7109375" customWidth="1"/>
    <col min="1536" max="1536" width="66.7109375" customWidth="1"/>
    <col min="1537" max="1541" width="11.28515625" bestFit="1" customWidth="1"/>
    <col min="1542" max="1542" width="12" customWidth="1"/>
    <col min="1543" max="1544" width="10.7109375" customWidth="1"/>
    <col min="1792" max="1792" width="66.7109375" customWidth="1"/>
    <col min="1793" max="1797" width="11.28515625" bestFit="1" customWidth="1"/>
    <col min="1798" max="1798" width="12" customWidth="1"/>
    <col min="1799" max="1800" width="10.7109375" customWidth="1"/>
    <col min="2048" max="2048" width="66.7109375" customWidth="1"/>
    <col min="2049" max="2053" width="11.28515625" bestFit="1" customWidth="1"/>
    <col min="2054" max="2054" width="12" customWidth="1"/>
    <col min="2055" max="2056" width="10.7109375" customWidth="1"/>
    <col min="2304" max="2304" width="66.7109375" customWidth="1"/>
    <col min="2305" max="2309" width="11.28515625" bestFit="1" customWidth="1"/>
    <col min="2310" max="2310" width="12" customWidth="1"/>
    <col min="2311" max="2312" width="10.7109375" customWidth="1"/>
    <col min="2560" max="2560" width="66.7109375" customWidth="1"/>
    <col min="2561" max="2565" width="11.28515625" bestFit="1" customWidth="1"/>
    <col min="2566" max="2566" width="12" customWidth="1"/>
    <col min="2567" max="2568" width="10.7109375" customWidth="1"/>
    <col min="2816" max="2816" width="66.7109375" customWidth="1"/>
    <col min="2817" max="2821" width="11.28515625" bestFit="1" customWidth="1"/>
    <col min="2822" max="2822" width="12" customWidth="1"/>
    <col min="2823" max="2824" width="10.7109375" customWidth="1"/>
    <col min="3072" max="3072" width="66.7109375" customWidth="1"/>
    <col min="3073" max="3077" width="11.28515625" bestFit="1" customWidth="1"/>
    <col min="3078" max="3078" width="12" customWidth="1"/>
    <col min="3079" max="3080" width="10.7109375" customWidth="1"/>
    <col min="3328" max="3328" width="66.7109375" customWidth="1"/>
    <col min="3329" max="3333" width="11.28515625" bestFit="1" customWidth="1"/>
    <col min="3334" max="3334" width="12" customWidth="1"/>
    <col min="3335" max="3336" width="10.7109375" customWidth="1"/>
    <col min="3584" max="3584" width="66.7109375" customWidth="1"/>
    <col min="3585" max="3589" width="11.28515625" bestFit="1" customWidth="1"/>
    <col min="3590" max="3590" width="12" customWidth="1"/>
    <col min="3591" max="3592" width="10.7109375" customWidth="1"/>
    <col min="3840" max="3840" width="66.7109375" customWidth="1"/>
    <col min="3841" max="3845" width="11.28515625" bestFit="1" customWidth="1"/>
    <col min="3846" max="3846" width="12" customWidth="1"/>
    <col min="3847" max="3848" width="10.7109375" customWidth="1"/>
    <col min="4096" max="4096" width="66.7109375" customWidth="1"/>
    <col min="4097" max="4101" width="11.28515625" bestFit="1" customWidth="1"/>
    <col min="4102" max="4102" width="12" customWidth="1"/>
    <col min="4103" max="4104" width="10.7109375" customWidth="1"/>
    <col min="4352" max="4352" width="66.7109375" customWidth="1"/>
    <col min="4353" max="4357" width="11.28515625" bestFit="1" customWidth="1"/>
    <col min="4358" max="4358" width="12" customWidth="1"/>
    <col min="4359" max="4360" width="10.7109375" customWidth="1"/>
    <col min="4608" max="4608" width="66.7109375" customWidth="1"/>
    <col min="4609" max="4613" width="11.28515625" bestFit="1" customWidth="1"/>
    <col min="4614" max="4614" width="12" customWidth="1"/>
    <col min="4615" max="4616" width="10.7109375" customWidth="1"/>
    <col min="4864" max="4864" width="66.7109375" customWidth="1"/>
    <col min="4865" max="4869" width="11.28515625" bestFit="1" customWidth="1"/>
    <col min="4870" max="4870" width="12" customWidth="1"/>
    <col min="4871" max="4872" width="10.7109375" customWidth="1"/>
    <col min="5120" max="5120" width="66.7109375" customWidth="1"/>
    <col min="5121" max="5125" width="11.28515625" bestFit="1" customWidth="1"/>
    <col min="5126" max="5126" width="12" customWidth="1"/>
    <col min="5127" max="5128" width="10.7109375" customWidth="1"/>
    <col min="5376" max="5376" width="66.7109375" customWidth="1"/>
    <col min="5377" max="5381" width="11.28515625" bestFit="1" customWidth="1"/>
    <col min="5382" max="5382" width="12" customWidth="1"/>
    <col min="5383" max="5384" width="10.7109375" customWidth="1"/>
    <col min="5632" max="5632" width="66.7109375" customWidth="1"/>
    <col min="5633" max="5637" width="11.28515625" bestFit="1" customWidth="1"/>
    <col min="5638" max="5638" width="12" customWidth="1"/>
    <col min="5639" max="5640" width="10.7109375" customWidth="1"/>
    <col min="5888" max="5888" width="66.7109375" customWidth="1"/>
    <col min="5889" max="5893" width="11.28515625" bestFit="1" customWidth="1"/>
    <col min="5894" max="5894" width="12" customWidth="1"/>
    <col min="5895" max="5896" width="10.7109375" customWidth="1"/>
    <col min="6144" max="6144" width="66.7109375" customWidth="1"/>
    <col min="6145" max="6149" width="11.28515625" bestFit="1" customWidth="1"/>
    <col min="6150" max="6150" width="12" customWidth="1"/>
    <col min="6151" max="6152" width="10.7109375" customWidth="1"/>
    <col min="6400" max="6400" width="66.7109375" customWidth="1"/>
    <col min="6401" max="6405" width="11.28515625" bestFit="1" customWidth="1"/>
    <col min="6406" max="6406" width="12" customWidth="1"/>
    <col min="6407" max="6408" width="10.7109375" customWidth="1"/>
    <col min="6656" max="6656" width="66.7109375" customWidth="1"/>
    <col min="6657" max="6661" width="11.28515625" bestFit="1" customWidth="1"/>
    <col min="6662" max="6662" width="12" customWidth="1"/>
    <col min="6663" max="6664" width="10.7109375" customWidth="1"/>
    <col min="6912" max="6912" width="66.7109375" customWidth="1"/>
    <col min="6913" max="6917" width="11.28515625" bestFit="1" customWidth="1"/>
    <col min="6918" max="6918" width="12" customWidth="1"/>
    <col min="6919" max="6920" width="10.7109375" customWidth="1"/>
    <col min="7168" max="7168" width="66.7109375" customWidth="1"/>
    <col min="7169" max="7173" width="11.28515625" bestFit="1" customWidth="1"/>
    <col min="7174" max="7174" width="12" customWidth="1"/>
    <col min="7175" max="7176" width="10.7109375" customWidth="1"/>
    <col min="7424" max="7424" width="66.7109375" customWidth="1"/>
    <col min="7425" max="7429" width="11.28515625" bestFit="1" customWidth="1"/>
    <col min="7430" max="7430" width="12" customWidth="1"/>
    <col min="7431" max="7432" width="10.7109375" customWidth="1"/>
    <col min="7680" max="7680" width="66.7109375" customWidth="1"/>
    <col min="7681" max="7685" width="11.28515625" bestFit="1" customWidth="1"/>
    <col min="7686" max="7686" width="12" customWidth="1"/>
    <col min="7687" max="7688" width="10.7109375" customWidth="1"/>
    <col min="7936" max="7936" width="66.7109375" customWidth="1"/>
    <col min="7937" max="7941" width="11.28515625" bestFit="1" customWidth="1"/>
    <col min="7942" max="7942" width="12" customWidth="1"/>
    <col min="7943" max="7944" width="10.7109375" customWidth="1"/>
    <col min="8192" max="8192" width="66.7109375" customWidth="1"/>
    <col min="8193" max="8197" width="11.28515625" bestFit="1" customWidth="1"/>
    <col min="8198" max="8198" width="12" customWidth="1"/>
    <col min="8199" max="8200" width="10.7109375" customWidth="1"/>
    <col min="8448" max="8448" width="66.7109375" customWidth="1"/>
    <col min="8449" max="8453" width="11.28515625" bestFit="1" customWidth="1"/>
    <col min="8454" max="8454" width="12" customWidth="1"/>
    <col min="8455" max="8456" width="10.7109375" customWidth="1"/>
    <col min="8704" max="8704" width="66.7109375" customWidth="1"/>
    <col min="8705" max="8709" width="11.28515625" bestFit="1" customWidth="1"/>
    <col min="8710" max="8710" width="12" customWidth="1"/>
    <col min="8711" max="8712" width="10.7109375" customWidth="1"/>
    <col min="8960" max="8960" width="66.7109375" customWidth="1"/>
    <col min="8961" max="8965" width="11.28515625" bestFit="1" customWidth="1"/>
    <col min="8966" max="8966" width="12" customWidth="1"/>
    <col min="8967" max="8968" width="10.7109375" customWidth="1"/>
    <col min="9216" max="9216" width="66.7109375" customWidth="1"/>
    <col min="9217" max="9221" width="11.28515625" bestFit="1" customWidth="1"/>
    <col min="9222" max="9222" width="12" customWidth="1"/>
    <col min="9223" max="9224" width="10.7109375" customWidth="1"/>
    <col min="9472" max="9472" width="66.7109375" customWidth="1"/>
    <col min="9473" max="9477" width="11.28515625" bestFit="1" customWidth="1"/>
    <col min="9478" max="9478" width="12" customWidth="1"/>
    <col min="9479" max="9480" width="10.7109375" customWidth="1"/>
    <col min="9728" max="9728" width="66.7109375" customWidth="1"/>
    <col min="9729" max="9733" width="11.28515625" bestFit="1" customWidth="1"/>
    <col min="9734" max="9734" width="12" customWidth="1"/>
    <col min="9735" max="9736" width="10.7109375" customWidth="1"/>
    <col min="9984" max="9984" width="66.7109375" customWidth="1"/>
    <col min="9985" max="9989" width="11.28515625" bestFit="1" customWidth="1"/>
    <col min="9990" max="9990" width="12" customWidth="1"/>
    <col min="9991" max="9992" width="10.7109375" customWidth="1"/>
    <col min="10240" max="10240" width="66.7109375" customWidth="1"/>
    <col min="10241" max="10245" width="11.28515625" bestFit="1" customWidth="1"/>
    <col min="10246" max="10246" width="12" customWidth="1"/>
    <col min="10247" max="10248" width="10.7109375" customWidth="1"/>
    <col min="10496" max="10496" width="66.7109375" customWidth="1"/>
    <col min="10497" max="10501" width="11.28515625" bestFit="1" customWidth="1"/>
    <col min="10502" max="10502" width="12" customWidth="1"/>
    <col min="10503" max="10504" width="10.7109375" customWidth="1"/>
    <col min="10752" max="10752" width="66.7109375" customWidth="1"/>
    <col min="10753" max="10757" width="11.28515625" bestFit="1" customWidth="1"/>
    <col min="10758" max="10758" width="12" customWidth="1"/>
    <col min="10759" max="10760" width="10.7109375" customWidth="1"/>
    <col min="11008" max="11008" width="66.7109375" customWidth="1"/>
    <col min="11009" max="11013" width="11.28515625" bestFit="1" customWidth="1"/>
    <col min="11014" max="11014" width="12" customWidth="1"/>
    <col min="11015" max="11016" width="10.7109375" customWidth="1"/>
    <col min="11264" max="11264" width="66.7109375" customWidth="1"/>
    <col min="11265" max="11269" width="11.28515625" bestFit="1" customWidth="1"/>
    <col min="11270" max="11270" width="12" customWidth="1"/>
    <col min="11271" max="11272" width="10.7109375" customWidth="1"/>
    <col min="11520" max="11520" width="66.7109375" customWidth="1"/>
    <col min="11521" max="11525" width="11.28515625" bestFit="1" customWidth="1"/>
    <col min="11526" max="11526" width="12" customWidth="1"/>
    <col min="11527" max="11528" width="10.7109375" customWidth="1"/>
    <col min="11776" max="11776" width="66.7109375" customWidth="1"/>
    <col min="11777" max="11781" width="11.28515625" bestFit="1" customWidth="1"/>
    <col min="11782" max="11782" width="12" customWidth="1"/>
    <col min="11783" max="11784" width="10.7109375" customWidth="1"/>
    <col min="12032" max="12032" width="66.7109375" customWidth="1"/>
    <col min="12033" max="12037" width="11.28515625" bestFit="1" customWidth="1"/>
    <col min="12038" max="12038" width="12" customWidth="1"/>
    <col min="12039" max="12040" width="10.7109375" customWidth="1"/>
    <col min="12288" max="12288" width="66.7109375" customWidth="1"/>
    <col min="12289" max="12293" width="11.28515625" bestFit="1" customWidth="1"/>
    <col min="12294" max="12294" width="12" customWidth="1"/>
    <col min="12295" max="12296" width="10.7109375" customWidth="1"/>
    <col min="12544" max="12544" width="66.7109375" customWidth="1"/>
    <col min="12545" max="12549" width="11.28515625" bestFit="1" customWidth="1"/>
    <col min="12550" max="12550" width="12" customWidth="1"/>
    <col min="12551" max="12552" width="10.7109375" customWidth="1"/>
    <col min="12800" max="12800" width="66.7109375" customWidth="1"/>
    <col min="12801" max="12805" width="11.28515625" bestFit="1" customWidth="1"/>
    <col min="12806" max="12806" width="12" customWidth="1"/>
    <col min="12807" max="12808" width="10.7109375" customWidth="1"/>
    <col min="13056" max="13056" width="66.7109375" customWidth="1"/>
    <col min="13057" max="13061" width="11.28515625" bestFit="1" customWidth="1"/>
    <col min="13062" max="13062" width="12" customWidth="1"/>
    <col min="13063" max="13064" width="10.7109375" customWidth="1"/>
    <col min="13312" max="13312" width="66.7109375" customWidth="1"/>
    <col min="13313" max="13317" width="11.28515625" bestFit="1" customWidth="1"/>
    <col min="13318" max="13318" width="12" customWidth="1"/>
    <col min="13319" max="13320" width="10.7109375" customWidth="1"/>
    <col min="13568" max="13568" width="66.7109375" customWidth="1"/>
    <col min="13569" max="13573" width="11.28515625" bestFit="1" customWidth="1"/>
    <col min="13574" max="13574" width="12" customWidth="1"/>
    <col min="13575" max="13576" width="10.7109375" customWidth="1"/>
    <col min="13824" max="13824" width="66.7109375" customWidth="1"/>
    <col min="13825" max="13829" width="11.28515625" bestFit="1" customWidth="1"/>
    <col min="13830" max="13830" width="12" customWidth="1"/>
    <col min="13831" max="13832" width="10.7109375" customWidth="1"/>
    <col min="14080" max="14080" width="66.7109375" customWidth="1"/>
    <col min="14081" max="14085" width="11.28515625" bestFit="1" customWidth="1"/>
    <col min="14086" max="14086" width="12" customWidth="1"/>
    <col min="14087" max="14088" width="10.7109375" customWidth="1"/>
    <col min="14336" max="14336" width="66.7109375" customWidth="1"/>
    <col min="14337" max="14341" width="11.28515625" bestFit="1" customWidth="1"/>
    <col min="14342" max="14342" width="12" customWidth="1"/>
    <col min="14343" max="14344" width="10.7109375" customWidth="1"/>
    <col min="14592" max="14592" width="66.7109375" customWidth="1"/>
    <col min="14593" max="14597" width="11.28515625" bestFit="1" customWidth="1"/>
    <col min="14598" max="14598" width="12" customWidth="1"/>
    <col min="14599" max="14600" width="10.7109375" customWidth="1"/>
    <col min="14848" max="14848" width="66.7109375" customWidth="1"/>
    <col min="14849" max="14853" width="11.28515625" bestFit="1" customWidth="1"/>
    <col min="14854" max="14854" width="12" customWidth="1"/>
    <col min="14855" max="14856" width="10.7109375" customWidth="1"/>
    <col min="15104" max="15104" width="66.7109375" customWidth="1"/>
    <col min="15105" max="15109" width="11.28515625" bestFit="1" customWidth="1"/>
    <col min="15110" max="15110" width="12" customWidth="1"/>
    <col min="15111" max="15112" width="10.7109375" customWidth="1"/>
    <col min="15360" max="15360" width="66.7109375" customWidth="1"/>
    <col min="15361" max="15365" width="11.28515625" bestFit="1" customWidth="1"/>
    <col min="15366" max="15366" width="12" customWidth="1"/>
    <col min="15367" max="15368" width="10.7109375" customWidth="1"/>
    <col min="15616" max="15616" width="66.7109375" customWidth="1"/>
    <col min="15617" max="15621" width="11.28515625" bestFit="1" customWidth="1"/>
    <col min="15622" max="15622" width="12" customWidth="1"/>
    <col min="15623" max="15624" width="10.7109375" customWidth="1"/>
    <col min="15872" max="15872" width="66.7109375" customWidth="1"/>
    <col min="15873" max="15877" width="11.28515625" bestFit="1" customWidth="1"/>
    <col min="15878" max="15878" width="12" customWidth="1"/>
    <col min="15879" max="15880" width="10.7109375" customWidth="1"/>
    <col min="16128" max="16128" width="66.7109375" customWidth="1"/>
    <col min="16129" max="16133" width="11.28515625" bestFit="1" customWidth="1"/>
    <col min="16134" max="16134" width="12" customWidth="1"/>
    <col min="16135" max="16136" width="10.7109375" customWidth="1"/>
  </cols>
  <sheetData>
    <row r="1" spans="1:8" ht="18" customHeight="1">
      <c r="A1" s="197" t="str">
        <f>HLOOKUP(INDICE!$F$2,Nombres!$C$3:$E$853,9)</f>
        <v>Mexico</v>
      </c>
      <c r="B1" s="72"/>
      <c r="C1" s="72"/>
      <c r="D1" s="72"/>
      <c r="E1" s="72"/>
      <c r="F1" s="72"/>
      <c r="G1" s="72"/>
      <c r="H1" s="72"/>
    </row>
    <row r="2" spans="1:8" ht="18" customHeight="1">
      <c r="A2" s="198"/>
      <c r="B2" s="72"/>
      <c r="C2" s="72"/>
      <c r="D2" s="72"/>
      <c r="E2" s="72"/>
      <c r="F2" s="72"/>
      <c r="G2" s="72"/>
      <c r="H2" s="72"/>
    </row>
    <row r="3" spans="1:8" ht="18" customHeight="1">
      <c r="A3" s="65" t="str">
        <f>HLOOKUP(INDICE!$F$2,Nombres!$C$3:$E$853,93)</f>
        <v xml:space="preserve">Income statement  </v>
      </c>
      <c r="B3" s="67"/>
      <c r="C3" s="67"/>
      <c r="D3" s="67"/>
      <c r="E3" s="67"/>
      <c r="F3" s="67"/>
      <c r="G3" s="67"/>
      <c r="H3" s="67"/>
    </row>
    <row r="4" spans="1:8">
      <c r="A4" s="68" t="str">
        <f>HLOOKUP(INDICE!$F$2,Nombres!$C$3:$E$853,30)</f>
        <v>(Million euros)</v>
      </c>
      <c r="B4" s="72"/>
      <c r="C4" s="200"/>
      <c r="D4" s="200"/>
      <c r="E4" s="200"/>
      <c r="F4" s="72"/>
      <c r="G4" s="72"/>
      <c r="H4" s="72"/>
    </row>
    <row r="5" spans="1:8">
      <c r="A5" s="201"/>
      <c r="B5" s="72"/>
      <c r="C5" s="200"/>
      <c r="D5" s="200"/>
      <c r="E5" s="200"/>
      <c r="F5" s="72"/>
      <c r="G5" s="72"/>
      <c r="H5" s="72"/>
    </row>
    <row r="6" spans="1:8" ht="15.75">
      <c r="A6" s="73"/>
      <c r="B6" s="315">
        <v>2017</v>
      </c>
      <c r="C6" s="316"/>
      <c r="D6" s="316"/>
      <c r="E6" s="316"/>
      <c r="F6" s="315">
        <v>2018</v>
      </c>
      <c r="G6" s="316"/>
      <c r="H6" s="316"/>
    </row>
    <row r="7" spans="1:8" ht="15.75">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row>
    <row r="8" spans="1:8">
      <c r="A8" s="139" t="str">
        <f>HLOOKUP(INDICE!$F$2,Nombres!$C$3:$E$853,38)</f>
        <v>Net interest income</v>
      </c>
      <c r="B8" s="202">
        <v>1297.1228631099998</v>
      </c>
      <c r="C8" s="77">
        <v>1398.7146336800004</v>
      </c>
      <c r="D8" s="77">
        <v>1413.3051020799994</v>
      </c>
      <c r="E8" s="203">
        <v>1367.3153922500017</v>
      </c>
      <c r="F8" s="77">
        <v>1317.3236619900001</v>
      </c>
      <c r="G8" s="77">
        <v>1330.8436850100002</v>
      </c>
      <c r="H8" s="77">
        <v>1461.5178268499997</v>
      </c>
    </row>
    <row r="9" spans="1:8">
      <c r="A9" s="125" t="str">
        <f>HLOOKUP(INDICE!$F$2,Nombres!$C$3:$E$853,39)</f>
        <v>Net fees and commissions</v>
      </c>
      <c r="B9" s="204">
        <v>281.77251094999997</v>
      </c>
      <c r="C9" s="82">
        <v>315.27645944000005</v>
      </c>
      <c r="D9" s="82">
        <v>311.41408693999995</v>
      </c>
      <c r="E9" s="205">
        <v>310.98864198000001</v>
      </c>
      <c r="F9" s="82">
        <v>281.01796611999998</v>
      </c>
      <c r="G9" s="82">
        <v>307.79259766999996</v>
      </c>
      <c r="H9" s="82">
        <v>311.30250963999998</v>
      </c>
    </row>
    <row r="10" spans="1:8">
      <c r="A10" s="125" t="str">
        <f>HLOOKUP(INDICE!$F$2,Nombres!$C$3:$E$853,40)</f>
        <v>Net trading income</v>
      </c>
      <c r="B10" s="204">
        <v>72.605026769999995</v>
      </c>
      <c r="C10" s="82">
        <v>44.108082010000004</v>
      </c>
      <c r="D10" s="82">
        <v>63.692560540000002</v>
      </c>
      <c r="E10" s="205">
        <v>68.864791149999988</v>
      </c>
      <c r="F10" s="82">
        <v>67.471999969999999</v>
      </c>
      <c r="G10" s="82">
        <v>76.584605259999989</v>
      </c>
      <c r="H10" s="82">
        <v>54.77761764000001</v>
      </c>
    </row>
    <row r="11" spans="1:8">
      <c r="A11" s="125" t="str">
        <f>HLOOKUP(INDICE!$F$2,Nombres!$C$3:$E$853,95)</f>
        <v>Other operating income and expenses</v>
      </c>
      <c r="B11" s="204">
        <v>68.650000269999992</v>
      </c>
      <c r="C11" s="82">
        <v>51.330999530000007</v>
      </c>
      <c r="D11" s="82">
        <v>32.577000550000008</v>
      </c>
      <c r="E11" s="205">
        <v>24.685999979999977</v>
      </c>
      <c r="F11" s="82">
        <v>44.697000009999996</v>
      </c>
      <c r="G11" s="82">
        <v>38.94299998999999</v>
      </c>
      <c r="H11" s="82">
        <v>47.412999990000031</v>
      </c>
    </row>
    <row r="12" spans="1:8">
      <c r="A12" s="139" t="str">
        <f>HLOOKUP(INDICE!$F$2,Nombres!$C$3:$E$853,44)</f>
        <v>Gross income</v>
      </c>
      <c r="B12" s="202">
        <v>1720.1504011000002</v>
      </c>
      <c r="C12" s="77">
        <v>1809.4301746600008</v>
      </c>
      <c r="D12" s="77">
        <v>1820.9887501099995</v>
      </c>
      <c r="E12" s="203">
        <v>1771.854825360002</v>
      </c>
      <c r="F12" s="77">
        <v>1710.5106280900002</v>
      </c>
      <c r="G12" s="77">
        <v>1754.1638879299999</v>
      </c>
      <c r="H12" s="77">
        <v>1875.0109541200002</v>
      </c>
    </row>
    <row r="13" spans="1:8">
      <c r="A13" s="125" t="str">
        <f>HLOOKUP(INDICE!$F$2,Nombres!$C$3:$E$853,45)</f>
        <v>Operating expenses</v>
      </c>
      <c r="B13" s="204">
        <v>-576.32108592999998</v>
      </c>
      <c r="C13" s="82">
        <v>-625.49293850000004</v>
      </c>
      <c r="D13" s="82">
        <v>-634.26933772999996</v>
      </c>
      <c r="E13" s="205">
        <v>-615.66355466000005</v>
      </c>
      <c r="F13" s="82">
        <v>-566.64903578000008</v>
      </c>
      <c r="G13" s="82">
        <v>-577.09130039000013</v>
      </c>
      <c r="H13" s="82">
        <v>-615.25827709999999</v>
      </c>
    </row>
    <row r="14" spans="1:8">
      <c r="A14" s="125" t="str">
        <f>HLOOKUP(INDICE!$F$2,Nombres!$C$3:$E$853,46)</f>
        <v xml:space="preserve">  Administration expenses</v>
      </c>
      <c r="B14" s="204">
        <v>-513.51484574999995</v>
      </c>
      <c r="C14" s="82">
        <v>-559.19450312999993</v>
      </c>
      <c r="D14" s="82">
        <v>-568.74039845999994</v>
      </c>
      <c r="E14" s="205">
        <v>-553.88858634000007</v>
      </c>
      <c r="F14" s="82">
        <v>-506.15111555000004</v>
      </c>
      <c r="G14" s="82">
        <v>-515.77726150000012</v>
      </c>
      <c r="H14" s="82">
        <v>-549.18803810000009</v>
      </c>
    </row>
    <row r="15" spans="1:8">
      <c r="A15" s="141" t="str">
        <f>HLOOKUP(INDICE!$F$2,Nombres!$C$3:$E$853,47)</f>
        <v xml:space="preserve">  Personnel expenses</v>
      </c>
      <c r="B15" s="204">
        <v>-246.88625368000004</v>
      </c>
      <c r="C15" s="82">
        <v>-273.12755301000004</v>
      </c>
      <c r="D15" s="82">
        <v>-269.19673202999996</v>
      </c>
      <c r="E15" s="205">
        <v>-261.57978307999997</v>
      </c>
      <c r="F15" s="82">
        <v>-246.43299549</v>
      </c>
      <c r="G15" s="82">
        <v>-251.91825742000003</v>
      </c>
      <c r="H15" s="82">
        <v>-262.62799465000001</v>
      </c>
    </row>
    <row r="16" spans="1:8">
      <c r="A16" s="141" t="str">
        <f>HLOOKUP(INDICE!$F$2,Nombres!$C$3:$E$853,48)</f>
        <v xml:space="preserve">  General and administrative expenses</v>
      </c>
      <c r="B16" s="204">
        <v>-266.62859206999997</v>
      </c>
      <c r="C16" s="82">
        <v>-286.06695012</v>
      </c>
      <c r="D16" s="82">
        <v>-299.54366642999997</v>
      </c>
      <c r="E16" s="205">
        <v>-292.30880325999999</v>
      </c>
      <c r="F16" s="82">
        <v>-259.71812006000005</v>
      </c>
      <c r="G16" s="82">
        <v>-263.85900407999998</v>
      </c>
      <c r="H16" s="82">
        <v>-286.56004345000002</v>
      </c>
    </row>
    <row r="17" spans="1:8" ht="13.5" customHeight="1">
      <c r="A17" s="125" t="str">
        <f>HLOOKUP(INDICE!$F$2,Nombres!$C$3:$E$853,49)</f>
        <v xml:space="preserve">  Depreciation</v>
      </c>
      <c r="B17" s="204">
        <v>-62.806240180000003</v>
      </c>
      <c r="C17" s="82">
        <v>-66.298435369999993</v>
      </c>
      <c r="D17" s="82">
        <v>-65.528939269999995</v>
      </c>
      <c r="E17" s="205">
        <v>-61.774968319999992</v>
      </c>
      <c r="F17" s="82">
        <v>-60.497920230000005</v>
      </c>
      <c r="G17" s="82">
        <v>-61.314038889999999</v>
      </c>
      <c r="H17" s="82">
        <v>-66.070239000000001</v>
      </c>
    </row>
    <row r="18" spans="1:8" ht="12.75" customHeight="1">
      <c r="A18" s="139" t="str">
        <f>HLOOKUP(INDICE!$F$2,Nombres!$C$3:$E$853,50)</f>
        <v>Operating income</v>
      </c>
      <c r="B18" s="202">
        <v>1143.82931517</v>
      </c>
      <c r="C18" s="77">
        <v>1183.9372361600006</v>
      </c>
      <c r="D18" s="77">
        <v>1186.7194123799993</v>
      </c>
      <c r="E18" s="203">
        <v>1156.191270700002</v>
      </c>
      <c r="F18" s="77">
        <v>1143.8615923100003</v>
      </c>
      <c r="G18" s="77">
        <v>1177.0725875400001</v>
      </c>
      <c r="H18" s="77">
        <v>1259.75267702</v>
      </c>
    </row>
    <row r="19" spans="1:8" ht="13.5" customHeight="1">
      <c r="A19" s="125" t="str">
        <f>HLOOKUP(INDICE!$F$2,Nombres!$C$3:$E$853,51)</f>
        <v>Impaiment on financial assets not measured at fair value through profit or loss</v>
      </c>
      <c r="B19" s="204">
        <v>-403.99100031</v>
      </c>
      <c r="C19" s="82">
        <v>-426.94100011000012</v>
      </c>
      <c r="D19" s="82">
        <v>-437.41499950999992</v>
      </c>
      <c r="E19" s="205">
        <v>-383.09900011000002</v>
      </c>
      <c r="F19" s="82">
        <v>-376.85399998000003</v>
      </c>
      <c r="G19" s="82">
        <v>-331.07900004999999</v>
      </c>
      <c r="H19" s="82">
        <v>-347.25399997</v>
      </c>
    </row>
    <row r="20" spans="1:8" ht="13.5" customHeight="1">
      <c r="A20" s="125" t="str">
        <f>HLOOKUP(INDICE!$F$2,Nombres!$C$3:$E$853,160)</f>
        <v>Provisions or reversal of provisions and other results</v>
      </c>
      <c r="B20" s="204">
        <v>-3.9400000500000005</v>
      </c>
      <c r="C20" s="82">
        <v>-4.5019987200000013</v>
      </c>
      <c r="D20" s="82">
        <v>-0.74900205999999692</v>
      </c>
      <c r="E20" s="205">
        <v>-25.741999579999998</v>
      </c>
      <c r="F20" s="82">
        <v>20.72500002</v>
      </c>
      <c r="G20" s="82">
        <v>32.900999970000001</v>
      </c>
      <c r="H20" s="82">
        <v>-21.592999999999989</v>
      </c>
    </row>
    <row r="21" spans="1:8" ht="12.75" customHeight="1">
      <c r="A21" s="139" t="str">
        <f>HLOOKUP(INDICE!$F$2,Nombres!$C$3:$E$853,54)</f>
        <v>Profit/(loss) before tax</v>
      </c>
      <c r="B21" s="202">
        <v>735.8983148100001</v>
      </c>
      <c r="C21" s="77">
        <v>752.49423733000026</v>
      </c>
      <c r="D21" s="77">
        <v>748.55541080999944</v>
      </c>
      <c r="E21" s="203">
        <v>747.35027101000185</v>
      </c>
      <c r="F21" s="77">
        <v>787.73259235000023</v>
      </c>
      <c r="G21" s="77">
        <v>878.89458745999991</v>
      </c>
      <c r="H21" s="77">
        <v>890.90567704999978</v>
      </c>
    </row>
    <row r="22" spans="1:8" ht="13.5" customHeight="1">
      <c r="A22" s="125" t="str">
        <f>HLOOKUP(INDICE!$F$2,Nombres!$C$3:$E$853,55)</f>
        <v>Income tax</v>
      </c>
      <c r="B22" s="204">
        <v>-194.33097242000002</v>
      </c>
      <c r="C22" s="82">
        <v>-200.23816317999999</v>
      </c>
      <c r="D22" s="82">
        <v>-206.03389788999999</v>
      </c>
      <c r="E22" s="205">
        <v>-196.24298563999997</v>
      </c>
      <c r="F22" s="82">
        <v>-216.14694668999996</v>
      </c>
      <c r="G22" s="82">
        <v>-241.99482590999997</v>
      </c>
      <c r="H22" s="82">
        <v>-248.53117339999997</v>
      </c>
    </row>
    <row r="23" spans="1:8" ht="13.5" customHeight="1">
      <c r="A23" s="139" t="str">
        <f>HLOOKUP(INDICE!$F$2,Nombres!$C$3:$E$853,56)</f>
        <v>Profit/(loss) for the year</v>
      </c>
      <c r="B23" s="202">
        <v>541.56734239000002</v>
      </c>
      <c r="C23" s="77">
        <v>552.25607415000036</v>
      </c>
      <c r="D23" s="77">
        <v>542.5215129199994</v>
      </c>
      <c r="E23" s="203">
        <v>551.10728537000193</v>
      </c>
      <c r="F23" s="77">
        <v>571.58564566000018</v>
      </c>
      <c r="G23" s="77">
        <v>636.89976154999999</v>
      </c>
      <c r="H23" s="77">
        <v>642.37450364999972</v>
      </c>
    </row>
    <row r="24" spans="1:8" ht="12" customHeight="1">
      <c r="A24" s="125" t="str">
        <f>HLOOKUP(INDICE!$F$2,Nombres!$C$3:$E$853,57)</f>
        <v>Non-controlling interests</v>
      </c>
      <c r="B24" s="228">
        <v>-9.6000000000000002E-2</v>
      </c>
      <c r="C24" s="82">
        <v>-9.8999999999999991E-2</v>
      </c>
      <c r="D24" s="82">
        <v>-0.10200000000000002</v>
      </c>
      <c r="E24" s="205">
        <v>-9.9999999999999978E-2</v>
      </c>
      <c r="F24" s="82">
        <v>-9.8999999999999991E-2</v>
      </c>
      <c r="G24" s="82">
        <v>-0.11600000000000002</v>
      </c>
      <c r="H24" s="82">
        <v>-0.11699999999999999</v>
      </c>
    </row>
    <row r="25" spans="1:8" ht="14.25" customHeight="1">
      <c r="A25" s="206" t="str">
        <f>HLOOKUP(INDICE!$F$2,Nombres!$C$3:$E$853,58)</f>
        <v>Net attributable profit</v>
      </c>
      <c r="B25" s="207">
        <v>541.47134239000002</v>
      </c>
      <c r="C25" s="208">
        <v>552.15707415000031</v>
      </c>
      <c r="D25" s="208">
        <v>542.41951291999942</v>
      </c>
      <c r="E25" s="209">
        <v>551.00728537000191</v>
      </c>
      <c r="F25" s="208">
        <v>571.48664566000025</v>
      </c>
      <c r="G25" s="208">
        <v>636.78376154999989</v>
      </c>
      <c r="H25" s="208">
        <v>642.25750364999965</v>
      </c>
    </row>
    <row r="26" spans="1:8" ht="14.25" customHeight="1">
      <c r="A26" s="215"/>
      <c r="B26" s="72"/>
      <c r="C26" s="72"/>
      <c r="D26" s="72"/>
      <c r="E26" s="72"/>
      <c r="F26" s="72"/>
      <c r="G26" s="72"/>
      <c r="H26" s="72"/>
    </row>
    <row r="27" spans="1:8" ht="14.25" customHeight="1">
      <c r="A27" s="139"/>
      <c r="B27" s="77"/>
      <c r="C27" s="77"/>
      <c r="D27" s="77"/>
      <c r="E27" s="77"/>
      <c r="F27" s="77"/>
      <c r="G27" s="77"/>
      <c r="H27" s="77"/>
    </row>
    <row r="28" spans="1:8" ht="18" customHeight="1">
      <c r="A28" s="65" t="str">
        <f>HLOOKUP(INDICE!$F$2,Nombres!$C$3:$E$853,94)</f>
        <v>Balance sheets</v>
      </c>
      <c r="B28" s="67"/>
      <c r="C28" s="67"/>
      <c r="D28" s="67"/>
      <c r="E28" s="67"/>
      <c r="F28" s="67"/>
      <c r="G28" s="67"/>
      <c r="H28" s="67"/>
    </row>
    <row r="29" spans="1:8" ht="12.75" customHeight="1">
      <c r="A29" s="68" t="str">
        <f>HLOOKUP(INDICE!$F$2,Nombres!$C$3:$E$853,30)</f>
        <v>(Million euros)</v>
      </c>
      <c r="B29" s="72"/>
      <c r="C29" s="211"/>
      <c r="D29" s="211"/>
      <c r="E29" s="211"/>
      <c r="F29" s="84"/>
      <c r="G29" s="212"/>
      <c r="H29" s="212"/>
    </row>
    <row r="30" spans="1:8" ht="15.75">
      <c r="A30" s="72"/>
      <c r="B30" s="59">
        <v>42825</v>
      </c>
      <c r="C30" s="59">
        <v>42916</v>
      </c>
      <c r="D30" s="59">
        <v>43008</v>
      </c>
      <c r="E30" s="59">
        <v>43100</v>
      </c>
      <c r="F30" s="59">
        <v>43190</v>
      </c>
      <c r="G30" s="59">
        <v>43281</v>
      </c>
      <c r="H30" s="59">
        <v>43373</v>
      </c>
    </row>
    <row r="31" spans="1:8">
      <c r="A31" s="125" t="str">
        <f>HLOOKUP(INDICE!$F$2,Nombres!$C$3:$E$853,100)</f>
        <v>Cash, cash balances at central banks and other demand deposits</v>
      </c>
      <c r="B31" s="204">
        <v>7312</v>
      </c>
      <c r="C31" s="82">
        <v>7849</v>
      </c>
      <c r="D31" s="82">
        <v>10752</v>
      </c>
      <c r="E31" s="205">
        <v>8833</v>
      </c>
      <c r="F31" s="82">
        <v>7749</v>
      </c>
      <c r="G31" s="82">
        <v>5928.0870000099994</v>
      </c>
      <c r="H31" s="82">
        <v>6225.0339999900007</v>
      </c>
    </row>
    <row r="32" spans="1:8">
      <c r="A32" s="125" t="str">
        <f>HLOOKUP(INDICE!$F$2,Nombres!$C$3:$E$853,101)</f>
        <v xml:space="preserve">Financial assets designated at fair value </v>
      </c>
      <c r="B32" s="204">
        <v>35005</v>
      </c>
      <c r="C32" s="82">
        <v>32049</v>
      </c>
      <c r="D32" s="82">
        <v>29999</v>
      </c>
      <c r="E32" s="205">
        <v>28627</v>
      </c>
      <c r="F32" s="82">
        <v>27930</v>
      </c>
      <c r="G32" s="82">
        <v>28292.694000000003</v>
      </c>
      <c r="H32" s="82">
        <v>26954.857000000004</v>
      </c>
    </row>
    <row r="33" spans="1:8">
      <c r="A33" s="125" t="str">
        <f>HLOOKUP(INDICE!$F$2,Nombres!$C$3:$E$853,406)</f>
        <v>Financial assets at amortized cost</v>
      </c>
      <c r="B33" s="204">
        <v>53302</v>
      </c>
      <c r="C33" s="82">
        <v>54942</v>
      </c>
      <c r="D33" s="82">
        <v>52212</v>
      </c>
      <c r="E33" s="205">
        <v>47691</v>
      </c>
      <c r="F33" s="82">
        <v>53233</v>
      </c>
      <c r="G33" s="82">
        <v>55871.236000029996</v>
      </c>
      <c r="H33" s="82">
        <v>58814.566999949995</v>
      </c>
    </row>
    <row r="34" spans="1:8">
      <c r="A34" s="125" t="str">
        <f>HLOOKUP(INDICE!$F$2,Nombres!$C$3:$E$853,103)</f>
        <v xml:space="preserve">    of which loans and advances to customers</v>
      </c>
      <c r="B34" s="204">
        <v>51723</v>
      </c>
      <c r="C34" s="82">
        <v>51431</v>
      </c>
      <c r="D34" s="82">
        <v>50220</v>
      </c>
      <c r="E34" s="205">
        <v>45768</v>
      </c>
      <c r="F34" s="82">
        <v>47247</v>
      </c>
      <c r="G34" s="82">
        <v>49498.153000029997</v>
      </c>
      <c r="H34" s="82">
        <v>52038.660999959997</v>
      </c>
    </row>
    <row r="35" spans="1:8">
      <c r="A35" s="125" t="str">
        <f>HLOOKUP(INDICE!$F$2,Nombres!$C$3:$E$853,106)</f>
        <v>Tangible assets</v>
      </c>
      <c r="B35" s="204">
        <v>2093</v>
      </c>
      <c r="C35" s="82">
        <v>2017</v>
      </c>
      <c r="D35" s="82">
        <v>1897</v>
      </c>
      <c r="E35" s="205">
        <v>1749</v>
      </c>
      <c r="F35" s="82">
        <v>1791</v>
      </c>
      <c r="G35" s="82">
        <v>1734.4830000000002</v>
      </c>
      <c r="H35" s="82">
        <v>1803.5580000000002</v>
      </c>
    </row>
    <row r="36" spans="1:8">
      <c r="A36" s="125" t="str">
        <f>HLOOKUP(INDICE!$F$2,Nombres!$C$3:$E$853,107)</f>
        <v>Other assets</v>
      </c>
      <c r="B36" s="204">
        <v>4762</v>
      </c>
      <c r="C36" s="82">
        <v>4912</v>
      </c>
      <c r="D36" s="82">
        <v>9870</v>
      </c>
      <c r="E36" s="205">
        <v>7160</v>
      </c>
      <c r="F36" s="82">
        <v>2572</v>
      </c>
      <c r="G36" s="82">
        <v>2784.5423242200286</v>
      </c>
      <c r="H36" s="82">
        <v>2326.4807177600023</v>
      </c>
    </row>
    <row r="37" spans="1:8">
      <c r="A37" s="206" t="str">
        <f>HLOOKUP(INDICE!$F$2,Nombres!$C$3:$E$853,108)</f>
        <v>Total assets / Liabilities and equity</v>
      </c>
      <c r="B37" s="207">
        <v>102474</v>
      </c>
      <c r="C37" s="208">
        <v>101769</v>
      </c>
      <c r="D37" s="208">
        <v>104729</v>
      </c>
      <c r="E37" s="209">
        <v>94061</v>
      </c>
      <c r="F37" s="208">
        <v>93275</v>
      </c>
      <c r="G37" s="208">
        <v>94611.042324260008</v>
      </c>
      <c r="H37" s="208">
        <v>96124.496717700022</v>
      </c>
    </row>
    <row r="38" spans="1:8">
      <c r="A38" s="125" t="str">
        <f>HLOOKUP(INDICE!$F$2,Nombres!$C$3:$E$853,111)</f>
        <v>Financial liabilities held for trading and designated at fair value through profit or loss</v>
      </c>
      <c r="B38" s="204">
        <v>10079</v>
      </c>
      <c r="C38" s="82">
        <v>10390</v>
      </c>
      <c r="D38" s="82">
        <v>8323</v>
      </c>
      <c r="E38" s="205">
        <v>9405</v>
      </c>
      <c r="F38" s="82">
        <v>19167</v>
      </c>
      <c r="G38" s="82">
        <v>17254.218000000001</v>
      </c>
      <c r="H38" s="82">
        <v>16299.868999999999</v>
      </c>
    </row>
    <row r="39" spans="1:8">
      <c r="A39" s="125" t="str">
        <f>HLOOKUP(INDICE!$F$2,Nombres!$C$3:$E$853,109)</f>
        <v>Deposits from central banks and credit institutions</v>
      </c>
      <c r="B39" s="204">
        <v>8800</v>
      </c>
      <c r="C39" s="82">
        <v>6718</v>
      </c>
      <c r="D39" s="82">
        <v>7729</v>
      </c>
      <c r="E39" s="205">
        <v>5853</v>
      </c>
      <c r="F39" s="82">
        <v>1448</v>
      </c>
      <c r="G39" s="82">
        <v>1987.1159999699998</v>
      </c>
      <c r="H39" s="82">
        <v>2658.7980000000002</v>
      </c>
    </row>
    <row r="40" spans="1:8">
      <c r="A40" s="125" t="str">
        <f>HLOOKUP(INDICE!$F$2,Nombres!$C$3:$E$853,110)</f>
        <v>Deposits from customers</v>
      </c>
      <c r="B40" s="204">
        <v>53851</v>
      </c>
      <c r="C40" s="82">
        <v>55390</v>
      </c>
      <c r="D40" s="82">
        <v>55527</v>
      </c>
      <c r="E40" s="205">
        <v>49964</v>
      </c>
      <c r="F40" s="82">
        <v>47522</v>
      </c>
      <c r="G40" s="82">
        <v>49572.974000040005</v>
      </c>
      <c r="H40" s="82">
        <v>50326.833999980001</v>
      </c>
    </row>
    <row r="41" spans="1:8" ht="13.5" customHeight="1">
      <c r="A41" s="125" t="str">
        <f>HLOOKUP(INDICE!$F$2,Nombres!$C$3:$E$853,112)</f>
        <v>Debt certificates</v>
      </c>
      <c r="B41" s="204">
        <v>8852</v>
      </c>
      <c r="C41" s="82">
        <v>8183</v>
      </c>
      <c r="D41" s="82">
        <v>7973</v>
      </c>
      <c r="E41" s="205">
        <v>7312</v>
      </c>
      <c r="F41" s="82">
        <v>7903</v>
      </c>
      <c r="G41" s="82">
        <v>8012.4770000000008</v>
      </c>
      <c r="H41" s="82">
        <v>8574.7530000000006</v>
      </c>
    </row>
    <row r="42" spans="1:8">
      <c r="A42" s="125" t="str">
        <f>HLOOKUP(INDICE!$F$2,Nombres!$C$3:$E$853,115)</f>
        <v>Other liabilities</v>
      </c>
      <c r="B42" s="204">
        <v>16731</v>
      </c>
      <c r="C42" s="82">
        <v>17043</v>
      </c>
      <c r="D42" s="82">
        <v>21155</v>
      </c>
      <c r="E42" s="205">
        <v>17627</v>
      </c>
      <c r="F42" s="82">
        <v>13648</v>
      </c>
      <c r="G42" s="82">
        <v>13772.803714249992</v>
      </c>
      <c r="H42" s="82">
        <v>13986.278253010034</v>
      </c>
    </row>
    <row r="43" spans="1:8" ht="12.75" customHeight="1">
      <c r="A43" s="125" t="str">
        <f>HLOOKUP(INDICE!$F$2,Nombres!$C$3:$E$853,116)</f>
        <v>Economic capital allocated</v>
      </c>
      <c r="B43" s="204">
        <v>4161</v>
      </c>
      <c r="C43" s="82">
        <v>4045</v>
      </c>
      <c r="D43" s="82">
        <v>4023</v>
      </c>
      <c r="E43" s="205">
        <v>3901</v>
      </c>
      <c r="F43" s="82">
        <v>3588</v>
      </c>
      <c r="G43" s="82">
        <v>4011.45361</v>
      </c>
      <c r="H43" s="82">
        <v>4277.9644647100004</v>
      </c>
    </row>
    <row r="44" spans="1:8" ht="12.75" customHeight="1">
      <c r="A44" s="215"/>
      <c r="B44" s="69"/>
      <c r="C44" s="82"/>
      <c r="D44" s="82"/>
      <c r="E44" s="82"/>
      <c r="F44" s="82"/>
      <c r="G44" s="82"/>
      <c r="H44" s="82"/>
    </row>
    <row r="45" spans="1:8" ht="12.75" customHeight="1">
      <c r="A45" s="125"/>
      <c r="B45" s="69"/>
      <c r="C45" s="82"/>
      <c r="D45" s="82"/>
      <c r="E45" s="82"/>
      <c r="F45" s="82"/>
      <c r="G45" s="82"/>
      <c r="H45" s="82"/>
    </row>
    <row r="46" spans="1:8" ht="18">
      <c r="A46" s="65" t="str">
        <f>HLOOKUP(INDICE!$F$2,Nombres!$C$3:$E$853,117)</f>
        <v>Relevant business indicators</v>
      </c>
      <c r="B46" s="67"/>
      <c r="C46" s="67"/>
      <c r="D46" s="67"/>
      <c r="E46" s="67"/>
      <c r="F46" s="67"/>
      <c r="G46" s="67"/>
      <c r="H46" s="67"/>
    </row>
    <row r="47" spans="1:8" ht="13.5" customHeight="1">
      <c r="A47" s="68" t="str">
        <f>HLOOKUP(INDICE!$F$2,Nombres!$C$3:$E$853,30)</f>
        <v>(Million euros)</v>
      </c>
      <c r="B47" s="72"/>
      <c r="C47" s="72"/>
      <c r="D47" s="72"/>
      <c r="E47" s="72"/>
      <c r="F47" s="84"/>
      <c r="G47" s="212"/>
      <c r="H47" s="212"/>
    </row>
    <row r="48" spans="1:8" ht="15.75">
      <c r="A48" s="72"/>
      <c r="B48" s="59">
        <v>42825</v>
      </c>
      <c r="C48" s="59">
        <v>42916</v>
      </c>
      <c r="D48" s="59">
        <v>43008</v>
      </c>
      <c r="E48" s="59">
        <v>43100</v>
      </c>
      <c r="F48" s="59">
        <v>43190</v>
      </c>
      <c r="G48" s="59">
        <v>43281</v>
      </c>
      <c r="H48" s="59">
        <v>43373</v>
      </c>
    </row>
    <row r="49" spans="1:8" ht="12" customHeight="1">
      <c r="A49" s="125" t="str">
        <f>HLOOKUP(INDICE!$F$2,Nombres!$C$3:$E$853,118)</f>
        <v>Loans and advances to customers (gross) (*)</v>
      </c>
      <c r="B49" s="214">
        <v>53283</v>
      </c>
      <c r="C49" s="69">
        <v>52958</v>
      </c>
      <c r="D49" s="69">
        <v>51663</v>
      </c>
      <c r="E49" s="69">
        <v>47154</v>
      </c>
      <c r="F49" s="214">
        <v>48190</v>
      </c>
      <c r="G49" s="69">
        <v>51123.141999999985</v>
      </c>
      <c r="H49" s="69">
        <v>53734.111000030003</v>
      </c>
    </row>
    <row r="50" spans="1:8">
      <c r="A50" s="125" t="str">
        <f>HLOOKUP(INDICE!$F$2,Nombres!$C$3:$E$853,315)</f>
        <v>Customer deposits under management (*)</v>
      </c>
      <c r="B50" s="214">
        <v>48324.670546129993</v>
      </c>
      <c r="C50" s="69">
        <v>48648.356631059993</v>
      </c>
      <c r="D50" s="69">
        <v>49798.152567339996</v>
      </c>
      <c r="E50" s="69">
        <v>45092.55075888001</v>
      </c>
      <c r="F50" s="214">
        <v>46023.854090639994</v>
      </c>
      <c r="G50" s="69">
        <v>48141.691683540004</v>
      </c>
      <c r="H50" s="69">
        <v>49262.785674900006</v>
      </c>
    </row>
    <row r="51" spans="1:8">
      <c r="A51" s="125" t="str">
        <f>HLOOKUP(INDICE!$F$2,Nombres!$C$3:$E$853,122)</f>
        <v>Mutual funds</v>
      </c>
      <c r="B51" s="214">
        <v>17820.713959199998</v>
      </c>
      <c r="C51" s="69">
        <v>17870.530796409999</v>
      </c>
      <c r="D51" s="69">
        <v>17938.73201421</v>
      </c>
      <c r="E51" s="69">
        <v>16430.422850629999</v>
      </c>
      <c r="F51" s="214">
        <v>17587.57533421</v>
      </c>
      <c r="G51" s="69">
        <v>17932.926183430001</v>
      </c>
      <c r="H51" s="69">
        <v>19160.626357099998</v>
      </c>
    </row>
    <row r="52" spans="1:8">
      <c r="A52" s="125" t="str">
        <f>HLOOKUP(INDICE!$F$2,Nombres!$C$3:$E$853,206)</f>
        <v>Pension funds</v>
      </c>
      <c r="B52" s="213">
        <v>0</v>
      </c>
      <c r="C52" s="82">
        <v>0</v>
      </c>
      <c r="D52" s="82">
        <v>0</v>
      </c>
      <c r="E52" s="82">
        <v>0</v>
      </c>
      <c r="F52" s="213">
        <v>0</v>
      </c>
      <c r="G52" s="82" t="s">
        <v>744</v>
      </c>
      <c r="H52" s="82" t="s">
        <v>744</v>
      </c>
    </row>
    <row r="53" spans="1:8">
      <c r="A53" s="125" t="str">
        <f>HLOOKUP(INDICE!$F$2,Nombres!$C$3:$E$853,308)</f>
        <v>Other off balance-sheet funds</v>
      </c>
      <c r="B53" s="214">
        <v>2902.9696017100009</v>
      </c>
      <c r="C53" s="69">
        <v>3169.8694600700001</v>
      </c>
      <c r="D53" s="69">
        <v>3253.1974946</v>
      </c>
      <c r="E53" s="69">
        <v>3041.4681037400001</v>
      </c>
      <c r="F53" s="214">
        <v>2444.7886348699999</v>
      </c>
      <c r="G53" s="69">
        <v>2890.0264266499998</v>
      </c>
      <c r="H53" s="69">
        <v>3162.0461762200002</v>
      </c>
    </row>
    <row r="54" spans="1:8">
      <c r="A54" s="215" t="str">
        <f>HLOOKUP(INDICE!$F$2,Nombres!$C$3:$E$853,312)</f>
        <v xml:space="preserve">(*) Excluding repos. </v>
      </c>
      <c r="B54" s="69"/>
      <c r="C54" s="69"/>
      <c r="D54" s="69"/>
      <c r="E54" s="69"/>
      <c r="F54" s="69"/>
      <c r="G54" s="69"/>
      <c r="H54" s="69"/>
    </row>
    <row r="55" spans="1:8">
      <c r="A55" s="215" t="str">
        <f>HLOOKUP(INDICE!$F$2,Nombres!$C$3:$E$853,313)</f>
        <v xml:space="preserve"> </v>
      </c>
      <c r="B55" s="72"/>
      <c r="C55" s="72"/>
      <c r="D55" s="72"/>
      <c r="E55" s="72"/>
      <c r="F55" s="72"/>
      <c r="G55" s="72"/>
      <c r="H55" s="72"/>
    </row>
    <row r="56" spans="1:8">
      <c r="A56" s="215"/>
      <c r="B56" s="72"/>
      <c r="C56" s="72"/>
      <c r="D56" s="72"/>
      <c r="E56" s="72"/>
      <c r="F56" s="72"/>
      <c r="G56" s="72"/>
      <c r="H56" s="72"/>
    </row>
    <row r="57" spans="1:8" ht="18">
      <c r="A57" s="65" t="str">
        <f>HLOOKUP(INDICE!$F$2,Nombres!$C$3:$E$853,93)</f>
        <v xml:space="preserve">Income statement  </v>
      </c>
      <c r="B57" s="67"/>
      <c r="C57" s="67"/>
      <c r="D57" s="67"/>
      <c r="E57" s="67"/>
      <c r="F57" s="67"/>
      <c r="G57" s="67"/>
      <c r="H57" s="67"/>
    </row>
    <row r="58" spans="1:8">
      <c r="A58" s="68" t="str">
        <f>HLOOKUP(INDICE!$F$2,Nombres!$C$3:$E$853,31)</f>
        <v xml:space="preserve">(Constant million euros)    </v>
      </c>
      <c r="B58" s="72"/>
      <c r="C58" s="200"/>
      <c r="D58" s="200"/>
      <c r="E58" s="200"/>
      <c r="F58" s="72"/>
      <c r="G58" s="212"/>
      <c r="H58" s="212"/>
    </row>
    <row r="59" spans="1:8" ht="15.75">
      <c r="A59" s="201"/>
      <c r="B59" s="243"/>
      <c r="C59" s="244"/>
      <c r="D59" s="244"/>
      <c r="E59" s="244"/>
      <c r="F59" s="243"/>
      <c r="G59" s="245"/>
      <c r="H59" s="245"/>
    </row>
    <row r="60" spans="1:8" ht="15.75">
      <c r="A60" s="73"/>
      <c r="B60" s="315">
        <v>2017</v>
      </c>
      <c r="C60" s="316"/>
      <c r="D60" s="316"/>
      <c r="E60" s="316"/>
      <c r="F60" s="315">
        <v>2018</v>
      </c>
      <c r="G60" s="316"/>
      <c r="H60" s="316"/>
    </row>
    <row r="61" spans="1:8" ht="15.75">
      <c r="A61" s="73"/>
      <c r="B61" s="93" t="str">
        <f>HLOOKUP(INDICE!$F$2,Nombres!$C$3:$E$857,34)</f>
        <v>1Q</v>
      </c>
      <c r="C61" s="93" t="str">
        <f>HLOOKUP(INDICE!$F$2,Nombres!$C$3:$E$857,35)</f>
        <v>2Q</v>
      </c>
      <c r="D61" s="93" t="str">
        <f>HLOOKUP(INDICE!$F$2,Nombres!$C$3:$E$857,36)</f>
        <v>3Q</v>
      </c>
      <c r="E61" s="93" t="str">
        <f>HLOOKUP(INDICE!$F$2,Nombres!$C$3:$E$857,37)</f>
        <v>4Q</v>
      </c>
      <c r="F61" s="93" t="str">
        <f>HLOOKUP(INDICE!$F$2,Nombres!$C$3:$E$857,34)</f>
        <v>1Q</v>
      </c>
      <c r="G61" s="93" t="str">
        <f>HLOOKUP(INDICE!$F$2,Nombres!$C$3:$E$857,35)</f>
        <v>2Q</v>
      </c>
      <c r="H61" s="93" t="str">
        <f>HLOOKUP(INDICE!$F$2,Nombres!$C$3:$E$857,36)</f>
        <v>3Q</v>
      </c>
    </row>
    <row r="62" spans="1:8">
      <c r="A62" s="139" t="str">
        <f>HLOOKUP(INDICE!$F$2,Nombres!$C$3:$E$853,38)</f>
        <v>Net interest income</v>
      </c>
      <c r="B62" s="202">
        <v>1233.1934165374919</v>
      </c>
      <c r="C62" s="77">
        <v>1260.7199431512258</v>
      </c>
      <c r="D62" s="77">
        <v>1301.6174738910677</v>
      </c>
      <c r="E62" s="203">
        <v>1341.9411478942834</v>
      </c>
      <c r="F62" s="139">
        <v>1334.7127713320629</v>
      </c>
      <c r="G62" s="139">
        <v>1353.489418771039</v>
      </c>
      <c r="H62" s="139">
        <v>1421.4829837468983</v>
      </c>
    </row>
    <row r="63" spans="1:8">
      <c r="A63" s="125" t="str">
        <f>HLOOKUP(INDICE!$F$2,Nombres!$C$3:$E$853,39)</f>
        <v>Net fees and commissions</v>
      </c>
      <c r="B63" s="204">
        <v>267.88519063772833</v>
      </c>
      <c r="C63" s="82">
        <v>284.44350329022149</v>
      </c>
      <c r="D63" s="82">
        <v>286.80002022579868</v>
      </c>
      <c r="E63" s="205">
        <v>304.84042577656987</v>
      </c>
      <c r="F63" s="216">
        <v>284.72749649658408</v>
      </c>
      <c r="G63" s="216">
        <v>312.98467185609076</v>
      </c>
      <c r="H63" s="216">
        <v>302.40090507732521</v>
      </c>
    </row>
    <row r="64" spans="1:8">
      <c r="A64" s="125" t="str">
        <f>HLOOKUP(INDICE!$F$2,Nombres!$C$3:$E$853,40)</f>
        <v>Net trading income</v>
      </c>
      <c r="B64" s="204">
        <v>69.026646254325883</v>
      </c>
      <c r="C64" s="82">
        <v>38.944394872534147</v>
      </c>
      <c r="D64" s="82">
        <v>58.665979609523887</v>
      </c>
      <c r="E64" s="205">
        <v>67.203905013484246</v>
      </c>
      <c r="F64" s="216">
        <v>68.362652752501134</v>
      </c>
      <c r="G64" s="216">
        <v>77.871792029399558</v>
      </c>
      <c r="H64" s="216">
        <v>52.599778088099313</v>
      </c>
    </row>
    <row r="65" spans="1:8" ht="17.25" customHeight="1">
      <c r="A65" s="125" t="str">
        <f>HLOOKUP(INDICE!$F$2,Nombres!$C$3:$E$853,95)</f>
        <v>Other operating income and expenses</v>
      </c>
      <c r="B65" s="204">
        <v>65.266545510794629</v>
      </c>
      <c r="C65" s="82">
        <v>45.727614436279559</v>
      </c>
      <c r="D65" s="82">
        <v>29.920539483637796</v>
      </c>
      <c r="E65" s="205">
        <v>25.358115417180237</v>
      </c>
      <c r="F65" s="216">
        <v>45.287015237739837</v>
      </c>
      <c r="G65" s="216">
        <v>39.617449517834196</v>
      </c>
      <c r="H65" s="216">
        <v>46.148535234425999</v>
      </c>
    </row>
    <row r="66" spans="1:8" ht="15.75" customHeight="1">
      <c r="A66" s="139" t="str">
        <f>HLOOKUP(INDICE!$F$2,Nombres!$C$3:$E$853,44)</f>
        <v>Gross income</v>
      </c>
      <c r="B66" s="202">
        <v>1635.3717989403408</v>
      </c>
      <c r="C66" s="77">
        <v>1629.835455750261</v>
      </c>
      <c r="D66" s="77">
        <v>1677.004013210028</v>
      </c>
      <c r="E66" s="203">
        <v>1739.3435941015177</v>
      </c>
      <c r="F66" s="139">
        <v>1733.0899358188879</v>
      </c>
      <c r="G66" s="139">
        <v>1783.9633321743636</v>
      </c>
      <c r="H66" s="139">
        <v>1822.6322021467486</v>
      </c>
    </row>
    <row r="67" spans="1:8">
      <c r="A67" s="125" t="str">
        <f>HLOOKUP(INDICE!$F$2,Nombres!$C$3:$E$853,45)</f>
        <v>Operating expenses</v>
      </c>
      <c r="B67" s="204">
        <v>-547.91676963937948</v>
      </c>
      <c r="C67" s="82">
        <v>-563.8787502894379</v>
      </c>
      <c r="D67" s="82">
        <v>-584.15706541527527</v>
      </c>
      <c r="E67" s="205">
        <v>-604.03421474678112</v>
      </c>
      <c r="F67" s="216">
        <v>-574.12899103022892</v>
      </c>
      <c r="G67" s="216">
        <v>-586.90234639055234</v>
      </c>
      <c r="H67" s="216">
        <v>-597.96727584921871</v>
      </c>
    </row>
    <row r="68" spans="1:8">
      <c r="A68" s="125" t="str">
        <f>HLOOKUP(INDICE!$F$2,Nombres!$C$3:$E$853,46)</f>
        <v xml:space="preserve">  Administration expenses</v>
      </c>
      <c r="B68" s="204">
        <v>-488.20597114050173</v>
      </c>
      <c r="C68" s="82">
        <v>-504.15509640169842</v>
      </c>
      <c r="D68" s="82">
        <v>-523.8124352985127</v>
      </c>
      <c r="E68" s="205">
        <v>-543.27608983851167</v>
      </c>
      <c r="F68" s="216">
        <v>-512.83247818384973</v>
      </c>
      <c r="G68" s="216">
        <v>-524.54535385778922</v>
      </c>
      <c r="H68" s="216">
        <v>-533.73858310836113</v>
      </c>
    </row>
    <row r="69" spans="1:8">
      <c r="A69" s="227" t="str">
        <f>HLOOKUP(INDICE!$F$2,Nombres!$C$3:$E$853,47)</f>
        <v xml:space="preserve">  Personnel expenses</v>
      </c>
      <c r="B69" s="204">
        <v>-234.71832262813342</v>
      </c>
      <c r="C69" s="82">
        <v>-246.34531020247715</v>
      </c>
      <c r="D69" s="82">
        <v>-247.91397303821896</v>
      </c>
      <c r="E69" s="205">
        <v>-256.77008824387229</v>
      </c>
      <c r="F69" s="216">
        <v>-249.68599278118523</v>
      </c>
      <c r="G69" s="216">
        <v>-256.19930598248345</v>
      </c>
      <c r="H69" s="216">
        <v>-255.09394879633132</v>
      </c>
    </row>
    <row r="70" spans="1:8">
      <c r="A70" s="227" t="str">
        <f>HLOOKUP(INDICE!$F$2,Nombres!$C$3:$E$853,48)</f>
        <v xml:space="preserve">  General and administrative expenses</v>
      </c>
      <c r="B70" s="204">
        <v>-253.48764851236831</v>
      </c>
      <c r="C70" s="82">
        <v>-257.80978619922121</v>
      </c>
      <c r="D70" s="82">
        <v>-275.89846226029374</v>
      </c>
      <c r="E70" s="205">
        <v>-286.50600159463943</v>
      </c>
      <c r="F70" s="216">
        <v>-263.14648540266444</v>
      </c>
      <c r="G70" s="216">
        <v>-268.34604787530577</v>
      </c>
      <c r="H70" s="216">
        <v>-278.64463431202972</v>
      </c>
    </row>
    <row r="71" spans="1:8" ht="13.5" customHeight="1">
      <c r="A71" s="125" t="str">
        <f>HLOOKUP(INDICE!$F$2,Nombres!$C$3:$E$853,49)</f>
        <v xml:space="preserve">  Depreciation</v>
      </c>
      <c r="B71" s="204">
        <v>-59.710798498877672</v>
      </c>
      <c r="C71" s="82">
        <v>-59.723653887739417</v>
      </c>
      <c r="D71" s="82">
        <v>-60.344630116762517</v>
      </c>
      <c r="E71" s="205">
        <v>-60.75812490826938</v>
      </c>
      <c r="F71" s="216">
        <v>-61.29651284637923</v>
      </c>
      <c r="G71" s="216">
        <v>-62.356992532763087</v>
      </c>
      <c r="H71" s="216">
        <v>-64.228692740857696</v>
      </c>
    </row>
    <row r="72" spans="1:8" ht="14.25" customHeight="1">
      <c r="A72" s="139" t="str">
        <f>HLOOKUP(INDICE!$F$2,Nombres!$C$3:$E$853,50)</f>
        <v>Operating income</v>
      </c>
      <c r="B72" s="202">
        <v>1087.4550293009611</v>
      </c>
      <c r="C72" s="77">
        <v>1065.9567054608233</v>
      </c>
      <c r="D72" s="77">
        <v>1092.8469477947529</v>
      </c>
      <c r="E72" s="203">
        <v>1135.3093793547368</v>
      </c>
      <c r="F72" s="139">
        <v>1158.9609447886589</v>
      </c>
      <c r="G72" s="139">
        <v>1197.0609857838112</v>
      </c>
      <c r="H72" s="139">
        <v>1224.66492629753</v>
      </c>
    </row>
    <row r="73" spans="1:8">
      <c r="A73" s="125" t="str">
        <f>HLOOKUP(INDICE!$F$2,Nombres!$C$3:$E$853,51)</f>
        <v>Impaiment on financial assets not measured at fair value through profit or loss</v>
      </c>
      <c r="B73" s="204">
        <v>-384.08007143455848</v>
      </c>
      <c r="C73" s="82">
        <v>-384.61330096189124</v>
      </c>
      <c r="D73" s="82">
        <v>-402.85276650770476</v>
      </c>
      <c r="E73" s="205">
        <v>-377.67738620642353</v>
      </c>
      <c r="F73" s="216">
        <v>-381.82859779580667</v>
      </c>
      <c r="G73" s="216">
        <v>-336.80689300231506</v>
      </c>
      <c r="H73" s="216">
        <v>-336.55150920187828</v>
      </c>
    </row>
    <row r="74" spans="1:8" ht="16.5" customHeight="1">
      <c r="A74" s="125" t="str">
        <f>HLOOKUP(INDICE!$F$2,Nombres!$C$3:$E$853,160)</f>
        <v>Provisions or reversal of provisions and other results</v>
      </c>
      <c r="B74" s="204">
        <v>-3.7458148807645761</v>
      </c>
      <c r="C74" s="82">
        <v>-4.0638596786433183</v>
      </c>
      <c r="D74" s="82">
        <v>-0.67986460901025314</v>
      </c>
      <c r="E74" s="205">
        <v>-24.281151509060045</v>
      </c>
      <c r="F74" s="216">
        <v>20.998576895494374</v>
      </c>
      <c r="G74" s="216">
        <v>33.438137907630534</v>
      </c>
      <c r="H74" s="216">
        <v>-22.403714813124903</v>
      </c>
    </row>
    <row r="75" spans="1:8" ht="12.75" customHeight="1">
      <c r="A75" s="139" t="str">
        <f>HLOOKUP(INDICE!$F$2,Nombres!$C$3:$E$853,54)</f>
        <v>Profit/(loss) before tax</v>
      </c>
      <c r="B75" s="202">
        <v>699.62914298563817</v>
      </c>
      <c r="C75" s="77">
        <v>677.27954482028849</v>
      </c>
      <c r="D75" s="77">
        <v>689.31431667803793</v>
      </c>
      <c r="E75" s="203">
        <v>733.35084163925353</v>
      </c>
      <c r="F75" s="139">
        <v>798.13092388834662</v>
      </c>
      <c r="G75" s="139">
        <v>893.69223068912663</v>
      </c>
      <c r="H75" s="139">
        <v>865.70970228252668</v>
      </c>
    </row>
    <row r="76" spans="1:8" ht="13.5" customHeight="1">
      <c r="A76" s="125" t="str">
        <f>HLOOKUP(INDICE!$F$2,Nombres!$C$3:$E$853,55)</f>
        <v>Income tax</v>
      </c>
      <c r="B76" s="204">
        <v>-184.75325864127498</v>
      </c>
      <c r="C76" s="82">
        <v>-180.26178390686346</v>
      </c>
      <c r="D76" s="82">
        <v>-189.74967478723255</v>
      </c>
      <c r="E76" s="205">
        <v>-192.75751390743619</v>
      </c>
      <c r="F76" s="216">
        <v>-219.00015809004998</v>
      </c>
      <c r="G76" s="216">
        <v>-246.06777573076431</v>
      </c>
      <c r="H76" s="216">
        <v>-241.60501217918574</v>
      </c>
    </row>
    <row r="77" spans="1:8" ht="12.75" customHeight="1">
      <c r="A77" s="139" t="str">
        <f>HLOOKUP(INDICE!$F$2,Nombres!$C$3:$E$853,56)</f>
        <v>Profit/(loss) for the year</v>
      </c>
      <c r="B77" s="202">
        <v>514.87588434436316</v>
      </c>
      <c r="C77" s="77">
        <v>497.01776091342504</v>
      </c>
      <c r="D77" s="77">
        <v>499.56464189080532</v>
      </c>
      <c r="E77" s="203">
        <v>540.59332773181723</v>
      </c>
      <c r="F77" s="139">
        <v>579.13076579829658</v>
      </c>
      <c r="G77" s="139">
        <v>647.62445495836255</v>
      </c>
      <c r="H77" s="139">
        <v>624.104690103341</v>
      </c>
    </row>
    <row r="78" spans="1:8" ht="12.75" customHeight="1">
      <c r="A78" s="125" t="str">
        <f>HLOOKUP(INDICE!$F$2,Nombres!$C$3:$E$853,57)</f>
        <v>Non-controlling interests</v>
      </c>
      <c r="B78" s="228">
        <v>-9.1268584769027924E-2</v>
      </c>
      <c r="C78" s="82">
        <v>-8.9125487840454209E-2</v>
      </c>
      <c r="D78" s="82">
        <v>-9.3938742679817472E-2</v>
      </c>
      <c r="E78" s="205">
        <v>-9.8093373307846454E-2</v>
      </c>
      <c r="F78" s="216">
        <v>-0.10030683284187245</v>
      </c>
      <c r="G78" s="216">
        <v>-0.11794352491097801</v>
      </c>
      <c r="H78" s="216">
        <v>-0.11374964224714951</v>
      </c>
    </row>
    <row r="79" spans="1:8" ht="15" customHeight="1">
      <c r="A79" s="206" t="str">
        <f>HLOOKUP(INDICE!$F$2,Nombres!$C$3:$E$853,58)</f>
        <v>Net attributable profit</v>
      </c>
      <c r="B79" s="207">
        <v>514.78461575959409</v>
      </c>
      <c r="C79" s="208">
        <v>496.92863542558462</v>
      </c>
      <c r="D79" s="208">
        <v>499.47070314812544</v>
      </c>
      <c r="E79" s="209">
        <v>540.49523435850938</v>
      </c>
      <c r="F79" s="206">
        <v>579.03045896545473</v>
      </c>
      <c r="G79" s="206">
        <v>647.50651143345158</v>
      </c>
      <c r="H79" s="206">
        <v>623.99094046109394</v>
      </c>
    </row>
    <row r="80" spans="1:8" s="86" customFormat="1" ht="15" customHeight="1">
      <c r="A80" s="215"/>
      <c r="B80" s="77"/>
      <c r="C80" s="77"/>
      <c r="D80" s="77"/>
      <c r="E80" s="77"/>
      <c r="F80" s="139"/>
      <c r="G80" s="139"/>
      <c r="H80" s="139"/>
    </row>
    <row r="81" spans="1:8" s="86" customFormat="1" ht="15" customHeight="1">
      <c r="A81" s="139"/>
      <c r="B81" s="77"/>
      <c r="C81" s="77"/>
      <c r="D81" s="77"/>
      <c r="E81" s="77"/>
      <c r="F81" s="139"/>
      <c r="G81" s="139"/>
      <c r="H81" s="139"/>
    </row>
    <row r="82" spans="1:8" ht="17.25" customHeight="1">
      <c r="A82" s="65" t="str">
        <f>HLOOKUP(INDICE!$F$2,Nombres!$C$3:$E$853,94)</f>
        <v>Balance sheets</v>
      </c>
      <c r="B82" s="67"/>
      <c r="C82" s="67"/>
      <c r="D82" s="67"/>
      <c r="E82" s="67"/>
      <c r="F82" s="67"/>
      <c r="G82" s="67"/>
      <c r="H82" s="67"/>
    </row>
    <row r="83" spans="1:8">
      <c r="A83" s="68" t="str">
        <f>HLOOKUP(INDICE!$F$2,Nombres!$C$3:$E$853,31)</f>
        <v xml:space="preserve">(Constant million euros)    </v>
      </c>
      <c r="B83" s="72"/>
      <c r="C83" s="211"/>
      <c r="D83" s="211"/>
      <c r="E83" s="211"/>
      <c r="F83" s="72"/>
      <c r="G83" s="212"/>
      <c r="H83" s="212"/>
    </row>
    <row r="84" spans="1:8" ht="15.75">
      <c r="A84" s="72"/>
      <c r="B84" s="59">
        <v>42825</v>
      </c>
      <c r="C84" s="59">
        <v>42916</v>
      </c>
      <c r="D84" s="59">
        <v>43008</v>
      </c>
      <c r="E84" s="59">
        <v>43100</v>
      </c>
      <c r="F84" s="59">
        <v>43190</v>
      </c>
      <c r="G84" s="59">
        <v>43281</v>
      </c>
      <c r="H84" s="59">
        <v>43373</v>
      </c>
    </row>
    <row r="85" spans="1:8">
      <c r="A85" s="125" t="str">
        <f>HLOOKUP(INDICE!$F$2,Nombres!$C$3:$E$853,100)</f>
        <v>Cash, cash balances at central banks and other demand deposits</v>
      </c>
      <c r="B85" s="204">
        <v>6720.3451239090418</v>
      </c>
      <c r="C85" s="82">
        <v>7418.2779715944189</v>
      </c>
      <c r="D85" s="82">
        <v>10595.102618306686</v>
      </c>
      <c r="E85" s="205">
        <v>9596.212858670704</v>
      </c>
      <c r="F85" s="204">
        <v>8013.9140554116475</v>
      </c>
      <c r="G85" s="82">
        <v>6227.9977694542513</v>
      </c>
      <c r="H85" s="82">
        <v>6225.0339999900007</v>
      </c>
    </row>
    <row r="86" spans="1:8">
      <c r="A86" s="125" t="str">
        <f>HLOOKUP(INDICE!$F$2,Nombres!$C$3:$E$853,101)</f>
        <v xml:space="preserve">Financial assets designated at fair value </v>
      </c>
      <c r="B86" s="204">
        <v>32172.723598927056</v>
      </c>
      <c r="C86" s="82">
        <v>30289.37563912561</v>
      </c>
      <c r="D86" s="82">
        <v>29560.192931602101</v>
      </c>
      <c r="E86" s="205">
        <v>31100.496419089981</v>
      </c>
      <c r="F86" s="204">
        <v>28886.134046131327</v>
      </c>
      <c r="G86" s="82">
        <v>29724.063618424363</v>
      </c>
      <c r="H86" s="82">
        <v>26954.857000000004</v>
      </c>
    </row>
    <row r="87" spans="1:8">
      <c r="A87" s="125" t="str">
        <f>HLOOKUP(INDICE!$F$2,Nombres!$C$3:$E$853,406)</f>
        <v>Financial assets at amortized cost</v>
      </c>
      <c r="B87" s="204">
        <v>48989.132335973634</v>
      </c>
      <c r="C87" s="82">
        <v>51924.362993239076</v>
      </c>
      <c r="D87" s="82">
        <v>51448.48213285672</v>
      </c>
      <c r="E87" s="205">
        <v>51811.123848993215</v>
      </c>
      <c r="F87" s="204">
        <v>55054.42405144724</v>
      </c>
      <c r="G87" s="82">
        <v>58697.845221274918</v>
      </c>
      <c r="H87" s="82">
        <v>58814.566999949995</v>
      </c>
    </row>
    <row r="88" spans="1:8">
      <c r="A88" s="125" t="str">
        <f>HLOOKUP(INDICE!$F$2,Nombres!$C$3:$E$853,103)</f>
        <v xml:space="preserve">    of which loans and advances to customers</v>
      </c>
      <c r="B88" s="204">
        <v>47537.631940665771</v>
      </c>
      <c r="C88" s="82">
        <v>48606.874718116611</v>
      </c>
      <c r="D88" s="82">
        <v>49485.561326117815</v>
      </c>
      <c r="E88" s="205">
        <v>49721.816855500081</v>
      </c>
      <c r="F88" s="204">
        <v>48863.132907084138</v>
      </c>
      <c r="G88" s="82">
        <v>52002.338440001316</v>
      </c>
      <c r="H88" s="82">
        <v>52038.660999959997</v>
      </c>
    </row>
    <row r="89" spans="1:8">
      <c r="A89" s="125" t="str">
        <f>HLOOKUP(INDICE!$F$2,Nombres!$C$3:$E$853,106)</f>
        <v>Tangible assets</v>
      </c>
      <c r="B89" s="204">
        <v>1923.9616683481465</v>
      </c>
      <c r="C89" s="82">
        <v>1905.8184838417524</v>
      </c>
      <c r="D89" s="82">
        <v>1868.9091942483101</v>
      </c>
      <c r="E89" s="205">
        <v>1900.531935025909</v>
      </c>
      <c r="F89" s="204">
        <v>1852.1683813042011</v>
      </c>
      <c r="G89" s="82">
        <v>1822.2330838157561</v>
      </c>
      <c r="H89" s="82">
        <v>1803.5580000000002</v>
      </c>
    </row>
    <row r="90" spans="1:8">
      <c r="A90" s="125" t="str">
        <f>HLOOKUP(INDICE!$F$2,Nombres!$C$3:$E$853,107)</f>
        <v>Other assets</v>
      </c>
      <c r="B90" s="204">
        <v>4376.8807803710861</v>
      </c>
      <c r="C90" s="82">
        <v>4642.4937199490951</v>
      </c>
      <c r="D90" s="82">
        <v>9725.8813405333258</v>
      </c>
      <c r="E90" s="205">
        <v>7778.8476290189419</v>
      </c>
      <c r="F90" s="204">
        <v>2659.5721990314228</v>
      </c>
      <c r="G90" s="82">
        <v>2925.4164765402052</v>
      </c>
      <c r="H90" s="82">
        <v>2326.4807177600023</v>
      </c>
    </row>
    <row r="91" spans="1:8">
      <c r="A91" s="206" t="str">
        <f>HLOOKUP(INDICE!$F$2,Nombres!$C$3:$E$853,108)</f>
        <v>Total assets / Liabilities and equity</v>
      </c>
      <c r="B91" s="207">
        <v>94183.043507528957</v>
      </c>
      <c r="C91" s="207">
        <v>96180.32880774996</v>
      </c>
      <c r="D91" s="207">
        <v>103198.56821754713</v>
      </c>
      <c r="E91" s="207">
        <v>102187.21269079875</v>
      </c>
      <c r="F91" s="207">
        <v>96466.21273332584</v>
      </c>
      <c r="G91" s="208">
        <v>99397.556169509495</v>
      </c>
      <c r="H91" s="208">
        <v>96124.496717700022</v>
      </c>
    </row>
    <row r="92" spans="1:8">
      <c r="A92" s="125" t="str">
        <f>HLOOKUP(INDICE!$F$2,Nombres!$C$3:$E$853,111)</f>
        <v>Financial liabilities held for trading and designated at fair value through profit or loss</v>
      </c>
      <c r="B92" s="204">
        <v>9263.4472847706002</v>
      </c>
      <c r="C92" s="82">
        <v>9819.4832061257257</v>
      </c>
      <c r="D92" s="82">
        <v>8200.8700608219769</v>
      </c>
      <c r="E92" s="205">
        <v>10217.195281641152</v>
      </c>
      <c r="F92" s="204">
        <v>19822.701138191242</v>
      </c>
      <c r="G92" s="82">
        <v>18127.134641832366</v>
      </c>
      <c r="H92" s="82">
        <v>16299.868999999999</v>
      </c>
    </row>
    <row r="93" spans="1:8">
      <c r="A93" s="125" t="str">
        <f>HLOOKUP(INDICE!$F$2,Nombres!$C$3:$E$853,109)</f>
        <v>Deposits from central banks and credit institutions</v>
      </c>
      <c r="B93" s="204">
        <v>8088.334353751301</v>
      </c>
      <c r="C93" s="82">
        <v>6349.0805758923061</v>
      </c>
      <c r="D93" s="82">
        <v>7615.790013349073</v>
      </c>
      <c r="E93" s="205">
        <v>6358.2714933156658</v>
      </c>
      <c r="F93" s="204">
        <v>1497.4034845365472</v>
      </c>
      <c r="G93" s="82">
        <v>2087.6471643279083</v>
      </c>
      <c r="H93" s="82">
        <v>2658.7980000000002</v>
      </c>
    </row>
    <row r="94" spans="1:8">
      <c r="A94" s="125" t="str">
        <f>HLOOKUP(INDICE!$F$2,Nombres!$C$3:$E$853,110)</f>
        <v>Deposits from customers</v>
      </c>
      <c r="B94" s="204">
        <v>49494.090752779077</v>
      </c>
      <c r="C94" s="82">
        <v>52348.227790246259</v>
      </c>
      <c r="D94" s="82">
        <v>54715.278752655868</v>
      </c>
      <c r="E94" s="205">
        <v>54280.614363023429</v>
      </c>
      <c r="F94" s="204">
        <v>49147.845212568987</v>
      </c>
      <c r="G94" s="82">
        <v>52080.944746077774</v>
      </c>
      <c r="H94" s="82">
        <v>50326.833999980001</v>
      </c>
    </row>
    <row r="95" spans="1:8">
      <c r="A95" s="125" t="str">
        <f>HLOOKUP(INDICE!$F$2,Nombres!$C$3:$E$853,112)</f>
        <v>Debt certificates</v>
      </c>
      <c r="B95" s="204">
        <v>8135.4210970692002</v>
      </c>
      <c r="C95" s="82">
        <v>7733.8022836029822</v>
      </c>
      <c r="D95" s="82">
        <v>7856.4022342740654</v>
      </c>
      <c r="E95" s="205">
        <v>7944.1834007051075</v>
      </c>
      <c r="F95" s="204">
        <v>8173.0940673208224</v>
      </c>
      <c r="G95" s="82">
        <v>8417.8401706519016</v>
      </c>
      <c r="H95" s="82">
        <v>8574.7530000000006</v>
      </c>
    </row>
    <row r="96" spans="1:8">
      <c r="A96" s="125" t="str">
        <f>HLOOKUP(INDICE!$F$2,Nombres!$C$3:$E$853,115)</f>
        <v>Other liabilities</v>
      </c>
      <c r="B96" s="204">
        <v>15377.257178629523</v>
      </c>
      <c r="C96" s="82">
        <v>16107.187696175228</v>
      </c>
      <c r="D96" s="82">
        <v>20846.305669734083</v>
      </c>
      <c r="E96" s="205">
        <v>19149.452407442415</v>
      </c>
      <c r="F96" s="204">
        <v>14114.849555085761</v>
      </c>
      <c r="G96" s="82">
        <v>14469.590411094756</v>
      </c>
      <c r="H96" s="82">
        <v>13986.278253010034</v>
      </c>
    </row>
    <row r="97" spans="1:9" ht="12" customHeight="1">
      <c r="A97" s="125" t="str">
        <f>HLOOKUP(INDICE!$F$2,Nombres!$C$3:$E$853,116)</f>
        <v>Economic capital allocated</v>
      </c>
      <c r="B97" s="204">
        <v>3824.4928405292658</v>
      </c>
      <c r="C97" s="82">
        <v>3822.547255707464</v>
      </c>
      <c r="D97" s="82">
        <v>3963.921486712095</v>
      </c>
      <c r="E97" s="205">
        <v>4237.4957446709586</v>
      </c>
      <c r="F97" s="228">
        <v>3710.3192756224803</v>
      </c>
      <c r="G97" s="82">
        <v>4214.3990355247925</v>
      </c>
      <c r="H97" s="82">
        <v>4277.9644647100004</v>
      </c>
    </row>
    <row r="98" spans="1:9" ht="12" customHeight="1">
      <c r="A98" s="215"/>
      <c r="B98" s="69"/>
      <c r="C98" s="82"/>
      <c r="D98" s="82"/>
      <c r="E98" s="82"/>
      <c r="F98" s="82"/>
      <c r="G98" s="82"/>
      <c r="H98" s="82"/>
    </row>
    <row r="99" spans="1:9" ht="12" customHeight="1">
      <c r="A99" s="125"/>
      <c r="B99" s="69"/>
      <c r="C99" s="82"/>
      <c r="D99" s="82"/>
      <c r="E99" s="82"/>
      <c r="F99" s="82"/>
      <c r="G99" s="82"/>
      <c r="H99" s="82"/>
    </row>
    <row r="100" spans="1:9" ht="18">
      <c r="A100" s="65" t="str">
        <f>HLOOKUP(INDICE!$F$2,Nombres!$C$3:$E$853,117)</f>
        <v>Relevant business indicators</v>
      </c>
      <c r="B100" s="67"/>
      <c r="C100" s="67"/>
      <c r="D100" s="67"/>
      <c r="E100" s="67"/>
      <c r="F100" s="67"/>
      <c r="G100" s="67"/>
      <c r="H100" s="67"/>
    </row>
    <row r="101" spans="1:9" ht="12" customHeight="1">
      <c r="A101" s="68" t="str">
        <f>HLOOKUP(INDICE!$F$2,Nombres!$C$3:$E$853,31)</f>
        <v xml:space="preserve">(Constant million euros)    </v>
      </c>
      <c r="B101" s="72"/>
      <c r="C101" s="72"/>
      <c r="D101" s="72"/>
      <c r="E101" s="72"/>
      <c r="F101" s="72"/>
      <c r="G101" s="72"/>
      <c r="H101" s="72"/>
    </row>
    <row r="102" spans="1:9" ht="15.75">
      <c r="A102" s="72"/>
      <c r="B102" s="59">
        <v>42825</v>
      </c>
      <c r="C102" s="59">
        <v>42916</v>
      </c>
      <c r="D102" s="59">
        <v>43008</v>
      </c>
      <c r="E102" s="59">
        <v>43100</v>
      </c>
      <c r="F102" s="59">
        <v>43190</v>
      </c>
      <c r="G102" s="59">
        <v>43281</v>
      </c>
      <c r="H102" s="59">
        <v>43373</v>
      </c>
    </row>
    <row r="103" spans="1:9">
      <c r="A103" s="125" t="str">
        <f>HLOOKUP(INDICE!$F$2,Nombres!$C$3:$E$853,118)</f>
        <v>Loans and advances to customers (gross) (*)</v>
      </c>
      <c r="B103" s="214">
        <v>48971.942638861474</v>
      </c>
      <c r="C103" s="69">
        <v>50049.632757666113</v>
      </c>
      <c r="D103" s="69">
        <v>50908.222621494817</v>
      </c>
      <c r="E103" s="69">
        <v>51227.091336492107</v>
      </c>
      <c r="F103" s="214">
        <v>49838.983781820963</v>
      </c>
      <c r="G103" s="69">
        <v>53709.538058897553</v>
      </c>
      <c r="H103" s="82">
        <f>+H49</f>
        <v>53734.111000030003</v>
      </c>
    </row>
    <row r="104" spans="1:9">
      <c r="A104" s="125" t="str">
        <f>HLOOKUP(INDICE!$F$2,Nombres!$C$3:$E$853,315)</f>
        <v>Customer deposits under management (*)</v>
      </c>
      <c r="B104" s="214">
        <v>44414.663372868381</v>
      </c>
      <c r="C104" s="69">
        <v>45976.712493485007</v>
      </c>
      <c r="D104" s="69">
        <v>49070.33752498871</v>
      </c>
      <c r="E104" s="69">
        <v>48987.988915676055</v>
      </c>
      <c r="F104" s="214">
        <v>47598.586253353868</v>
      </c>
      <c r="G104" s="69">
        <v>50577.251720890003</v>
      </c>
      <c r="H104" s="82">
        <f t="shared" ref="H104:H107" si="0">+H50</f>
        <v>49262.785674900006</v>
      </c>
    </row>
    <row r="105" spans="1:9">
      <c r="A105" s="125" t="str">
        <f>HLOOKUP(INDICE!$F$2,Nombres!$C$3:$E$853,122)</f>
        <v>Mutual funds</v>
      </c>
      <c r="B105" s="214">
        <v>16378.8185748</v>
      </c>
      <c r="C105" s="69">
        <v>16889.126651565781</v>
      </c>
      <c r="D105" s="69">
        <v>17676.55202705093</v>
      </c>
      <c r="E105" s="69">
        <v>17849.807982486473</v>
      </c>
      <c r="F105" s="214">
        <v>18189.344158011441</v>
      </c>
      <c r="G105" s="69">
        <v>18840.179685284878</v>
      </c>
      <c r="H105" s="82">
        <f t="shared" si="0"/>
        <v>19160.626357099998</v>
      </c>
    </row>
    <row r="106" spans="1:9">
      <c r="A106" s="125" t="str">
        <f>HLOOKUP(INDICE!$F$2,Nombres!$C$3:$E$853,206)</f>
        <v>Pension funds</v>
      </c>
      <c r="B106" s="213">
        <v>0</v>
      </c>
      <c r="C106" s="82">
        <v>0</v>
      </c>
      <c r="D106" s="82">
        <v>0</v>
      </c>
      <c r="E106" s="82">
        <v>0</v>
      </c>
      <c r="F106" s="213">
        <v>0</v>
      </c>
      <c r="G106" s="82" t="s">
        <v>744</v>
      </c>
      <c r="H106" s="82" t="str">
        <f t="shared" si="0"/>
        <v>0</v>
      </c>
    </row>
    <row r="107" spans="1:9">
      <c r="A107" s="125" t="str">
        <f>HLOOKUP(INDICE!$F$2,Nombres!$C$3:$E$853,308)</f>
        <v>Other off balance-sheet funds</v>
      </c>
      <c r="B107" s="214">
        <v>2668.0868422794656</v>
      </c>
      <c r="C107" s="69">
        <v>2995.7882835135238</v>
      </c>
      <c r="D107" s="69">
        <v>3205.6510305196784</v>
      </c>
      <c r="E107" s="69">
        <v>3304.2132956751384</v>
      </c>
      <c r="F107" s="214">
        <v>2528.4384588674666</v>
      </c>
      <c r="G107" s="69">
        <v>3036.2371771550715</v>
      </c>
      <c r="H107" s="82">
        <f t="shared" si="0"/>
        <v>3162.0461762200002</v>
      </c>
    </row>
    <row r="108" spans="1:9">
      <c r="A108" s="215" t="str">
        <f>HLOOKUP(INDICE!$F$2,Nombres!$C$3:$E$853,312)</f>
        <v xml:space="preserve">(*) Excluding repos. </v>
      </c>
      <c r="B108" s="212"/>
      <c r="C108" s="216"/>
      <c r="D108" s="216"/>
      <c r="E108" s="216"/>
      <c r="F108" s="216"/>
      <c r="G108" s="72"/>
      <c r="H108" s="72"/>
    </row>
    <row r="109" spans="1:9">
      <c r="A109" s="215" t="str">
        <f>HLOOKUP(INDICE!$F$2,Nombres!$C$3:$E$853,313)</f>
        <v xml:space="preserve"> </v>
      </c>
      <c r="B109" s="212"/>
      <c r="C109" s="216"/>
      <c r="D109" s="216"/>
      <c r="E109" s="216"/>
      <c r="F109" s="216"/>
      <c r="G109" s="72"/>
      <c r="H109" s="72"/>
    </row>
    <row r="110" spans="1:9">
      <c r="A110" s="215"/>
      <c r="B110" s="212"/>
      <c r="C110" s="216"/>
      <c r="D110" s="216"/>
      <c r="E110" s="216"/>
      <c r="F110" s="216"/>
      <c r="G110" s="72"/>
      <c r="H110" s="72"/>
    </row>
    <row r="111" spans="1:9" s="229" customFormat="1" ht="18">
      <c r="A111" s="65" t="str">
        <f>HLOOKUP(INDICE!$F$2,Nombres!$C$3:$E$853,93)</f>
        <v xml:space="preserve">Income statement  </v>
      </c>
      <c r="B111" s="67"/>
      <c r="C111" s="67"/>
      <c r="D111" s="67"/>
      <c r="E111" s="67"/>
      <c r="F111" s="67"/>
      <c r="G111" s="67"/>
      <c r="H111" s="67"/>
      <c r="I111" s="311"/>
    </row>
    <row r="112" spans="1:9" ht="15.75" customHeight="1">
      <c r="A112" s="68" t="str">
        <f>HLOOKUP(INDICE!$F$2,Nombres!$C$3:$E$853,329)</f>
        <v>(Million Mexican pesos)</v>
      </c>
      <c r="B112" s="72"/>
      <c r="C112" s="200"/>
      <c r="D112" s="200"/>
      <c r="E112" s="200"/>
      <c r="F112" s="72"/>
      <c r="G112" s="212"/>
      <c r="H112" s="212"/>
    </row>
    <row r="113" spans="1:8" ht="15.75" customHeight="1">
      <c r="A113" s="201"/>
      <c r="B113" s="72"/>
      <c r="C113" s="200"/>
      <c r="D113" s="200"/>
      <c r="E113" s="200"/>
      <c r="F113" s="72"/>
      <c r="G113" s="212"/>
      <c r="H113" s="212"/>
    </row>
    <row r="114" spans="1:8" ht="15.75">
      <c r="A114" s="73"/>
      <c r="B114" s="315">
        <v>2017</v>
      </c>
      <c r="C114" s="316"/>
      <c r="D114" s="316"/>
      <c r="E114" s="316"/>
      <c r="F114" s="315">
        <v>2018</v>
      </c>
      <c r="G114" s="316"/>
      <c r="H114" s="316"/>
    </row>
    <row r="115" spans="1:8" ht="15.75">
      <c r="A115" s="73"/>
      <c r="B115" s="93" t="str">
        <f>HLOOKUP(INDICE!$F$2,Nombres!$C$3:$E$857,34)</f>
        <v>1Q</v>
      </c>
      <c r="C115" s="93" t="str">
        <f>HLOOKUP(INDICE!$F$2,Nombres!$C$3:$E$857,35)</f>
        <v>2Q</v>
      </c>
      <c r="D115" s="93" t="str">
        <f>HLOOKUP(INDICE!$F$2,Nombres!$C$3:$E$857,36)</f>
        <v>3Q</v>
      </c>
      <c r="E115" s="93" t="str">
        <f>HLOOKUP(INDICE!$F$2,Nombres!$C$3:$E$857,37)</f>
        <v>4Q</v>
      </c>
      <c r="F115" s="93" t="str">
        <f>HLOOKUP(INDICE!$F$2,Nombres!$C$3:$E$857,34)</f>
        <v>1Q</v>
      </c>
      <c r="G115" s="93" t="str">
        <f>HLOOKUP(INDICE!$F$2,Nombres!$C$3:$E$857,35)</f>
        <v>2Q</v>
      </c>
      <c r="H115" s="93" t="str">
        <f>HLOOKUP(INDICE!$F$2,Nombres!$C$3:$E$857,36)</f>
        <v>3Q</v>
      </c>
    </row>
    <row r="116" spans="1:8">
      <c r="A116" s="139" t="str">
        <f>HLOOKUP(INDICE!$F$2,Nombres!$C$3:$E$853,38)</f>
        <v>Net interest income</v>
      </c>
      <c r="B116" s="202">
        <v>28039.23095285445</v>
      </c>
      <c r="C116" s="77">
        <v>28665.10409384111</v>
      </c>
      <c r="D116" s="77">
        <v>29594.994972626082</v>
      </c>
      <c r="E116" s="203">
        <v>30511.838018559927</v>
      </c>
      <c r="F116" s="139">
        <v>30347.485762762626</v>
      </c>
      <c r="G116" s="139">
        <v>30774.412104568772</v>
      </c>
      <c r="H116" s="139">
        <v>32320.387979966305</v>
      </c>
    </row>
    <row r="117" spans="1:8">
      <c r="A117" s="125" t="str">
        <f>HLOOKUP(INDICE!$F$2,Nombres!$C$3:$E$853,39)</f>
        <v>Net fees and commissions</v>
      </c>
      <c r="B117" s="204">
        <v>6090.9299615226655</v>
      </c>
      <c r="C117" s="82">
        <v>6467.4178233833118</v>
      </c>
      <c r="D117" s="82">
        <v>6520.9981634296328</v>
      </c>
      <c r="E117" s="205">
        <v>6931.1845064134459</v>
      </c>
      <c r="F117" s="216">
        <v>6473.8750027644664</v>
      </c>
      <c r="G117" s="216">
        <v>7116.3609707849018</v>
      </c>
      <c r="H117" s="216">
        <v>6875.7169022379039</v>
      </c>
    </row>
    <row r="118" spans="1:8">
      <c r="A118" s="125" t="str">
        <f>HLOOKUP(INDICE!$F$2,Nombres!$C$3:$E$853,40)</f>
        <v>Net trading income</v>
      </c>
      <c r="B118" s="204">
        <v>1569.4651384535568</v>
      </c>
      <c r="C118" s="82">
        <v>885.48225080225927</v>
      </c>
      <c r="D118" s="82">
        <v>1333.8937179582977</v>
      </c>
      <c r="E118" s="205">
        <v>1528.0213049608749</v>
      </c>
      <c r="F118" s="216">
        <v>1554.367857768153</v>
      </c>
      <c r="G118" s="216">
        <v>1770.5780229962834</v>
      </c>
      <c r="H118" s="216">
        <v>1195.9659418407796</v>
      </c>
    </row>
    <row r="119" spans="1:8">
      <c r="A119" s="125" t="str">
        <f>HLOOKUP(INDICE!$F$2,Nombres!$C$3:$E$853,95)</f>
        <v>Other operating income and expenses</v>
      </c>
      <c r="B119" s="204">
        <v>1483.9713856163944</v>
      </c>
      <c r="C119" s="82">
        <v>1039.7129314085519</v>
      </c>
      <c r="D119" s="82">
        <v>680.30602950450896</v>
      </c>
      <c r="E119" s="205">
        <v>576.56977824924945</v>
      </c>
      <c r="F119" s="216">
        <v>1029.6949873295246</v>
      </c>
      <c r="G119" s="216">
        <v>900.78555553157446</v>
      </c>
      <c r="H119" s="216">
        <v>1049.2834459067781</v>
      </c>
    </row>
    <row r="120" spans="1:8">
      <c r="A120" s="139" t="str">
        <f>HLOOKUP(INDICE!$F$2,Nombres!$C$3:$E$853,44)</f>
        <v>Gross income</v>
      </c>
      <c r="B120" s="202">
        <v>37183.597438447061</v>
      </c>
      <c r="C120" s="77">
        <v>37057.717099435235</v>
      </c>
      <c r="D120" s="77">
        <v>38130.192883518524</v>
      </c>
      <c r="E120" s="203">
        <v>39547.613608183499</v>
      </c>
      <c r="F120" s="139">
        <v>39405.42361062477</v>
      </c>
      <c r="G120" s="139">
        <v>40562.136653881535</v>
      </c>
      <c r="H120" s="139">
        <v>41441.354269951764</v>
      </c>
    </row>
    <row r="121" spans="1:8">
      <c r="A121" s="125" t="str">
        <f>HLOOKUP(INDICE!$F$2,Nombres!$C$3:$E$853,45)</f>
        <v>Operating expenses</v>
      </c>
      <c r="B121" s="204">
        <v>-12458.033460798515</v>
      </c>
      <c r="C121" s="82">
        <v>-12820.962467643705</v>
      </c>
      <c r="D121" s="82">
        <v>-13282.032364322667</v>
      </c>
      <c r="E121" s="205">
        <v>-13733.980917823172</v>
      </c>
      <c r="F121" s="216">
        <v>-13054.023124308884</v>
      </c>
      <c r="G121" s="216">
        <v>-13344.452067723612</v>
      </c>
      <c r="H121" s="216">
        <v>-13596.036375917301</v>
      </c>
    </row>
    <row r="122" spans="1:8">
      <c r="A122" s="125" t="str">
        <f>HLOOKUP(INDICE!$F$2,Nombres!$C$3:$E$853,46)</f>
        <v xml:space="preserve">  Administration expenses</v>
      </c>
      <c r="B122" s="204">
        <v>-11100.383600657142</v>
      </c>
      <c r="C122" s="82">
        <v>-11463.02031335573</v>
      </c>
      <c r="D122" s="82">
        <v>-11909.971016996264</v>
      </c>
      <c r="E122" s="205">
        <v>-12352.517901787398</v>
      </c>
      <c r="F122" s="216">
        <v>-11660.318732722078</v>
      </c>
      <c r="G122" s="216">
        <v>-11926.635452986271</v>
      </c>
      <c r="H122" s="216">
        <v>-12135.662743192768</v>
      </c>
    </row>
    <row r="123" spans="1:8">
      <c r="A123" s="227" t="str">
        <f>HLOOKUP(INDICE!$F$2,Nombres!$C$3:$E$853,47)</f>
        <v xml:space="preserve">  Personnel expenses</v>
      </c>
      <c r="B123" s="204">
        <v>-5336.8118648537647</v>
      </c>
      <c r="C123" s="82">
        <v>-5601.1757395802097</v>
      </c>
      <c r="D123" s="82">
        <v>-5636.8425692507899</v>
      </c>
      <c r="E123" s="205">
        <v>-5838.2048667350027</v>
      </c>
      <c r="F123" s="216">
        <v>-5677.1331434297826</v>
      </c>
      <c r="G123" s="216">
        <v>-5825.2269385071595</v>
      </c>
      <c r="H123" s="216">
        <v>-5800.0943315597951</v>
      </c>
    </row>
    <row r="124" spans="1:8">
      <c r="A124" s="227" t="str">
        <f>HLOOKUP(INDICE!$F$2,Nombres!$C$3:$E$853,48)</f>
        <v xml:space="preserve">  General and administrative expenses</v>
      </c>
      <c r="B124" s="204">
        <v>-5763.5717358033771</v>
      </c>
      <c r="C124" s="82">
        <v>-5861.844573775521</v>
      </c>
      <c r="D124" s="82">
        <v>-6273.1284477454737</v>
      </c>
      <c r="E124" s="205">
        <v>-6514.3130350523952</v>
      </c>
      <c r="F124" s="216">
        <v>-5983.1855892922958</v>
      </c>
      <c r="G124" s="216">
        <v>-6101.4085144791097</v>
      </c>
      <c r="H124" s="216">
        <v>-6335.5684116329721</v>
      </c>
    </row>
    <row r="125" spans="1:8">
      <c r="A125" s="125" t="str">
        <f>HLOOKUP(INDICE!$F$2,Nombres!$C$3:$E$853,49)</f>
        <v xml:space="preserve">  Depreciation</v>
      </c>
      <c r="B125" s="204">
        <v>-1357.6498601413718</v>
      </c>
      <c r="C125" s="82">
        <v>-1357.942154287975</v>
      </c>
      <c r="D125" s="82">
        <v>-1372.0613473264027</v>
      </c>
      <c r="E125" s="205">
        <v>-1381.463016035774</v>
      </c>
      <c r="F125" s="216">
        <v>-1393.7043915868041</v>
      </c>
      <c r="G125" s="216">
        <v>-1417.8166147373427</v>
      </c>
      <c r="H125" s="216">
        <v>-1460.3736327245333</v>
      </c>
    </row>
    <row r="126" spans="1:8">
      <c r="A126" s="139" t="str">
        <f>HLOOKUP(INDICE!$F$2,Nombres!$C$3:$E$853,50)</f>
        <v>Operating income</v>
      </c>
      <c r="B126" s="202">
        <v>24725.563977648555</v>
      </c>
      <c r="C126" s="77">
        <v>24236.754631791526</v>
      </c>
      <c r="D126" s="77">
        <v>24848.160519195852</v>
      </c>
      <c r="E126" s="203">
        <v>25813.632690360326</v>
      </c>
      <c r="F126" s="139">
        <v>26351.400486315888</v>
      </c>
      <c r="G126" s="139">
        <v>27217.684586157913</v>
      </c>
      <c r="H126" s="139">
        <v>27845.317894034466</v>
      </c>
    </row>
    <row r="127" spans="1:8">
      <c r="A127" s="125" t="str">
        <f>HLOOKUP(INDICE!$F$2,Nombres!$C$3:$E$853,51)</f>
        <v>Impaiment on financial assets not measured at fair value through profit or loss</v>
      </c>
      <c r="B127" s="204">
        <v>-8732.8635418603135</v>
      </c>
      <c r="C127" s="82">
        <v>-8744.9876301560107</v>
      </c>
      <c r="D127" s="82">
        <v>-9159.7000183648597</v>
      </c>
      <c r="E127" s="205">
        <v>-8587.2851050777226</v>
      </c>
      <c r="F127" s="216">
        <v>-8681.6715808145982</v>
      </c>
      <c r="G127" s="216">
        <v>-7658.0089812035876</v>
      </c>
      <c r="H127" s="216">
        <v>-7652.2022964889002</v>
      </c>
    </row>
    <row r="128" spans="1:8">
      <c r="A128" s="125" t="str">
        <f>HLOOKUP(INDICE!$F$2,Nombres!$C$3:$E$853,160)</f>
        <v>Provisions or reversal of provisions and other results</v>
      </c>
      <c r="B128" s="204">
        <v>-85.168933875186468</v>
      </c>
      <c r="C128" s="82">
        <v>-92.400347391903722</v>
      </c>
      <c r="D128" s="82">
        <v>-15.45814349401445</v>
      </c>
      <c r="E128" s="205">
        <v>-552.0827518487539</v>
      </c>
      <c r="F128" s="216">
        <v>477.44655409141166</v>
      </c>
      <c r="G128" s="216">
        <v>760.28598503059357</v>
      </c>
      <c r="H128" s="216">
        <v>-509.39530281541806</v>
      </c>
    </row>
    <row r="129" spans="1:8">
      <c r="A129" s="139" t="str">
        <f>HLOOKUP(INDICE!$F$2,Nombres!$C$3:$E$853,54)</f>
        <v>Profit/(loss) before tax</v>
      </c>
      <c r="B129" s="202">
        <v>15907.531501913052</v>
      </c>
      <c r="C129" s="77">
        <v>15399.366654243609</v>
      </c>
      <c r="D129" s="77">
        <v>15673.00235733698</v>
      </c>
      <c r="E129" s="203">
        <v>16674.264833433845</v>
      </c>
      <c r="F129" s="139">
        <v>18147.175459592701</v>
      </c>
      <c r="G129" s="139">
        <v>20319.961589984923</v>
      </c>
      <c r="H129" s="139">
        <v>19683.720294730145</v>
      </c>
    </row>
    <row r="130" spans="1:8">
      <c r="A130" s="125" t="str">
        <f>HLOOKUP(INDICE!$F$2,Nombres!$C$3:$E$853,55)</f>
        <v>Income tax</v>
      </c>
      <c r="B130" s="204">
        <v>-4200.7516573355533</v>
      </c>
      <c r="C130" s="82">
        <v>-4098.6285875005906</v>
      </c>
      <c r="D130" s="82">
        <v>-4314.3556260028772</v>
      </c>
      <c r="E130" s="205">
        <v>-4382.7451378421629</v>
      </c>
      <c r="F130" s="216">
        <v>-4979.4265271378545</v>
      </c>
      <c r="G130" s="216">
        <v>-5594.8654130366358</v>
      </c>
      <c r="H130" s="216">
        <v>-5493.3951519789398</v>
      </c>
    </row>
    <row r="131" spans="1:8">
      <c r="A131" s="139" t="str">
        <f>HLOOKUP(INDICE!$F$2,Nombres!$C$3:$E$853,56)</f>
        <v>Profit/(loss) for the year</v>
      </c>
      <c r="B131" s="202">
        <v>11706.779844577499</v>
      </c>
      <c r="C131" s="77">
        <v>11300.738066743019</v>
      </c>
      <c r="D131" s="77">
        <v>11358.6467313341</v>
      </c>
      <c r="E131" s="203">
        <v>12291.519695591684</v>
      </c>
      <c r="F131" s="139">
        <v>13167.748932454844</v>
      </c>
      <c r="G131" s="139">
        <v>14725.096176948291</v>
      </c>
      <c r="H131" s="139">
        <v>14190.325142751208</v>
      </c>
    </row>
    <row r="132" spans="1:8">
      <c r="A132" s="125" t="str">
        <f>HLOOKUP(INDICE!$F$2,Nombres!$C$3:$E$853,57)</f>
        <v>Non-controlling interests</v>
      </c>
      <c r="B132" s="204">
        <v>-2.0751821188474096</v>
      </c>
      <c r="C132" s="82">
        <v>-2.026454328925086</v>
      </c>
      <c r="D132" s="82">
        <v>-2.1358937422936606</v>
      </c>
      <c r="E132" s="205">
        <v>-2.2303579570234064</v>
      </c>
      <c r="F132" s="216">
        <v>-2.2806855879100625</v>
      </c>
      <c r="G132" s="216">
        <v>-2.681692660716628</v>
      </c>
      <c r="H132" s="216">
        <v>-2.5863359688763223</v>
      </c>
    </row>
    <row r="133" spans="1:8">
      <c r="A133" s="206" t="str">
        <f>HLOOKUP(INDICE!$F$2,Nombres!$C$3:$E$853,58)</f>
        <v>Net attributable profit</v>
      </c>
      <c r="B133" s="207">
        <v>11704.704662458651</v>
      </c>
      <c r="C133" s="208">
        <v>11298.711612414094</v>
      </c>
      <c r="D133" s="208">
        <v>11356.510837591806</v>
      </c>
      <c r="E133" s="209">
        <v>12289.289337634662</v>
      </c>
      <c r="F133" s="206">
        <v>13165.468246866936</v>
      </c>
      <c r="G133" s="206">
        <v>14722.414484287572</v>
      </c>
      <c r="H133" s="206">
        <v>14187.73880678233</v>
      </c>
    </row>
    <row r="134" spans="1:8">
      <c r="A134" s="215"/>
      <c r="B134" s="77"/>
      <c r="C134" s="77"/>
      <c r="D134" s="77"/>
      <c r="E134" s="77"/>
      <c r="F134" s="139"/>
      <c r="G134" s="139"/>
      <c r="H134" s="139"/>
    </row>
    <row r="135" spans="1:8">
      <c r="A135" s="139"/>
      <c r="B135" s="77"/>
      <c r="C135" s="77"/>
      <c r="D135" s="77"/>
      <c r="E135" s="77"/>
      <c r="F135" s="139"/>
      <c r="G135" s="139"/>
      <c r="H135" s="139"/>
    </row>
    <row r="136" spans="1:8" ht="18">
      <c r="A136" s="65" t="str">
        <f>HLOOKUP(INDICE!$F$2,Nombres!$C$3:$E$853,94)</f>
        <v>Balance sheets</v>
      </c>
      <c r="B136" s="67"/>
      <c r="C136" s="67"/>
      <c r="D136" s="67"/>
      <c r="E136" s="67"/>
      <c r="F136" s="67"/>
      <c r="G136" s="67"/>
      <c r="H136" s="67"/>
    </row>
    <row r="137" spans="1:8">
      <c r="A137" s="68" t="str">
        <f>HLOOKUP(INDICE!$F$2,Nombres!$C$3:$E$853,329)</f>
        <v>(Million Mexican pesos)</v>
      </c>
      <c r="B137" s="72"/>
      <c r="C137" s="211"/>
      <c r="D137" s="211"/>
      <c r="E137" s="211"/>
      <c r="F137" s="72"/>
      <c r="G137" s="212"/>
      <c r="H137" s="212"/>
    </row>
    <row r="138" spans="1:8" ht="15.75">
      <c r="A138" s="72"/>
      <c r="B138" s="59">
        <v>42825</v>
      </c>
      <c r="C138" s="59">
        <v>42916</v>
      </c>
      <c r="D138" s="59">
        <v>43008</v>
      </c>
      <c r="E138" s="59">
        <v>43100</v>
      </c>
      <c r="F138" s="59">
        <v>43190</v>
      </c>
      <c r="G138" s="59">
        <v>43281</v>
      </c>
      <c r="H138" s="59">
        <v>43373</v>
      </c>
    </row>
    <row r="139" spans="1:8">
      <c r="A139" s="125" t="str">
        <f>HLOOKUP(INDICE!$F$2,Nombres!$C$3:$E$853,100)</f>
        <v>Cash, cash balances at central banks and other demand deposits</v>
      </c>
      <c r="B139" s="204">
        <v>146368.10393145971</v>
      </c>
      <c r="C139" s="82">
        <v>161568.97616401137</v>
      </c>
      <c r="D139" s="82">
        <v>230759.73816933148</v>
      </c>
      <c r="E139" s="205">
        <v>209004.06975368521</v>
      </c>
      <c r="F139" s="228">
        <v>174541.84029733081</v>
      </c>
      <c r="G139" s="82">
        <v>135644.85275633252</v>
      </c>
      <c r="H139" s="82">
        <v>135580.30230409026</v>
      </c>
    </row>
    <row r="140" spans="1:8">
      <c r="A140" s="125" t="str">
        <f>HLOOKUP(INDICE!$F$2,Nombres!$C$3:$E$853,101)</f>
        <v xml:space="preserve">Financial assets designated at fair value </v>
      </c>
      <c r="B140" s="204">
        <v>700717.0710224997</v>
      </c>
      <c r="C140" s="82">
        <v>659698.03630974446</v>
      </c>
      <c r="D140" s="82">
        <v>643816.5468397896</v>
      </c>
      <c r="E140" s="205">
        <v>677364.12464803713</v>
      </c>
      <c r="F140" s="228">
        <v>629135.6459060706</v>
      </c>
      <c r="G140" s="82">
        <v>647385.62570075283</v>
      </c>
      <c r="H140" s="82">
        <v>587072.72291675746</v>
      </c>
    </row>
    <row r="141" spans="1:8">
      <c r="A141" s="125" t="str">
        <f>HLOOKUP(INDICE!$F$2,Nombres!$C$3:$E$853,406)</f>
        <v>Financial assets at amortized cost</v>
      </c>
      <c r="B141" s="204">
        <v>1066975.9188041475</v>
      </c>
      <c r="C141" s="82">
        <v>1130904.80013153</v>
      </c>
      <c r="D141" s="82">
        <v>1120540.1867155272</v>
      </c>
      <c r="E141" s="205">
        <v>1128438.4686368692</v>
      </c>
      <c r="F141" s="228">
        <v>1199077.0582272778</v>
      </c>
      <c r="G141" s="82">
        <v>1278430.2221822301</v>
      </c>
      <c r="H141" s="82">
        <v>1280972.4049298686</v>
      </c>
    </row>
    <row r="142" spans="1:8">
      <c r="A142" s="125" t="str">
        <f>HLOOKUP(INDICE!$F$2,Nombres!$C$3:$E$853,103)</f>
        <v xml:space="preserve">    of which loans and advances to customers</v>
      </c>
      <c r="B142" s="204">
        <v>1035362.4589594845</v>
      </c>
      <c r="C142" s="82">
        <v>1058650.4054997736</v>
      </c>
      <c r="D142" s="82">
        <v>1077788.0673894195</v>
      </c>
      <c r="E142" s="205">
        <v>1082933.6772117454</v>
      </c>
      <c r="F142" s="228">
        <v>1064231.6702331344</v>
      </c>
      <c r="G142" s="82">
        <v>1132603.0936098208</v>
      </c>
      <c r="H142" s="82">
        <v>1133394.1934913096</v>
      </c>
    </row>
    <row r="143" spans="1:8">
      <c r="A143" s="125" t="str">
        <f>HLOOKUP(INDICE!$F$2,Nombres!$C$3:$E$853,106)</f>
        <v>Tangible assets</v>
      </c>
      <c r="B143" s="204">
        <v>41903.595163744096</v>
      </c>
      <c r="C143" s="82">
        <v>41508.439339673132</v>
      </c>
      <c r="D143" s="82">
        <v>40704.560575169009</v>
      </c>
      <c r="E143" s="205">
        <v>41393.299103234502</v>
      </c>
      <c r="F143" s="228">
        <v>40339.948192364005</v>
      </c>
      <c r="G143" s="82">
        <v>39687.961924810654</v>
      </c>
      <c r="H143" s="82">
        <v>39281.221413947809</v>
      </c>
    </row>
    <row r="144" spans="1:8">
      <c r="A144" s="125" t="str">
        <f>HLOOKUP(INDICE!$F$2,Nombres!$C$3:$E$853,107)</f>
        <v>Other assets</v>
      </c>
      <c r="B144" s="204">
        <v>95327.803728080442</v>
      </c>
      <c r="C144" s="82">
        <v>101112.81351982172</v>
      </c>
      <c r="D144" s="82">
        <v>211828.22974546597</v>
      </c>
      <c r="E144" s="205">
        <v>169422.12895890014</v>
      </c>
      <c r="F144" s="228">
        <v>57925.081653339337</v>
      </c>
      <c r="G144" s="82">
        <v>63715.129950347764</v>
      </c>
      <c r="H144" s="82">
        <v>50670.399393648942</v>
      </c>
    </row>
    <row r="145" spans="1:8">
      <c r="A145" s="206" t="str">
        <f>HLOOKUP(INDICE!$F$2,Nombres!$C$3:$E$853,108)</f>
        <v>Total assets / Liabilities and equity</v>
      </c>
      <c r="B145" s="207">
        <v>2051292.4926499315</v>
      </c>
      <c r="C145" s="208">
        <v>2094793.0654647809</v>
      </c>
      <c r="D145" s="208">
        <v>2247649.2620452833</v>
      </c>
      <c r="E145" s="209">
        <v>2225622.0911007263</v>
      </c>
      <c r="F145" s="207">
        <v>2101019.5742763826</v>
      </c>
      <c r="G145" s="208">
        <v>2164863.7925144732</v>
      </c>
      <c r="H145" s="208">
        <v>2093577.0509583133</v>
      </c>
    </row>
    <row r="146" spans="1:8">
      <c r="A146" s="125" t="str">
        <f>HLOOKUP(INDICE!$F$2,Nombres!$C$3:$E$853,111)</f>
        <v>Financial liabilities held for trading and designated at fair value through profit or loss</v>
      </c>
      <c r="B146" s="204">
        <v>201756.48570742254</v>
      </c>
      <c r="C146" s="82">
        <v>213866.86427071755</v>
      </c>
      <c r="D146" s="82">
        <v>178613.71391780232</v>
      </c>
      <c r="E146" s="205">
        <v>222528.97333364881</v>
      </c>
      <c r="F146" s="228">
        <v>431735.44318053836</v>
      </c>
      <c r="G146" s="82">
        <v>394806.26043978677</v>
      </c>
      <c r="H146" s="82">
        <v>355008.69015986408</v>
      </c>
    </row>
    <row r="147" spans="1:8">
      <c r="A147" s="125" t="str">
        <f>HLOOKUP(INDICE!$F$2,Nombres!$C$3:$E$853,109)</f>
        <v>Deposits from central banks and credit institutions</v>
      </c>
      <c r="B147" s="204">
        <v>176162.70317879732</v>
      </c>
      <c r="C147" s="82">
        <v>138282.01803136963</v>
      </c>
      <c r="D147" s="82">
        <v>165870.75866509284</v>
      </c>
      <c r="E147" s="205">
        <v>138482.19482762698</v>
      </c>
      <c r="F147" s="228">
        <v>32613.222209708303</v>
      </c>
      <c r="G147" s="82">
        <v>45468.640596068923</v>
      </c>
      <c r="H147" s="82">
        <v>57908.219715119572</v>
      </c>
    </row>
    <row r="148" spans="1:8">
      <c r="A148" s="125" t="str">
        <f>HLOOKUP(INDICE!$F$2,Nombres!$C$3:$E$853,110)</f>
        <v>Deposits from customers</v>
      </c>
      <c r="B148" s="204">
        <v>1077973.837016576</v>
      </c>
      <c r="C148" s="82">
        <v>1140136.5115269036</v>
      </c>
      <c r="D148" s="82">
        <v>1191690.5247344135</v>
      </c>
      <c r="E148" s="205">
        <v>1182223.5998393393</v>
      </c>
      <c r="F148" s="228">
        <v>1070432.661335736</v>
      </c>
      <c r="G148" s="82">
        <v>1134315.1271088943</v>
      </c>
      <c r="H148" s="82">
        <v>1096110.859432417</v>
      </c>
    </row>
    <row r="149" spans="1:8">
      <c r="A149" s="125" t="str">
        <f>HLOOKUP(INDICE!$F$2,Nombres!$C$3:$E$853,112)</f>
        <v>Debt certificates</v>
      </c>
      <c r="B149" s="204">
        <v>177188.24535150934</v>
      </c>
      <c r="C149" s="82">
        <v>168441.04812481991</v>
      </c>
      <c r="D149" s="82">
        <v>171111.25657259364</v>
      </c>
      <c r="E149" s="205">
        <v>173023.11714738657</v>
      </c>
      <c r="F149" s="228">
        <v>178008.75696564929</v>
      </c>
      <c r="G149" s="82">
        <v>183339.29020891016</v>
      </c>
      <c r="H149" s="82">
        <v>186756.82798275037</v>
      </c>
    </row>
    <row r="150" spans="1:8">
      <c r="A150" s="125" t="str">
        <f>HLOOKUP(INDICE!$F$2,Nombres!$C$3:$E$853,115)</f>
        <v>Other liabilities</v>
      </c>
      <c r="B150" s="204">
        <v>334914.34374329227</v>
      </c>
      <c r="C150" s="82">
        <v>350812.12040282326</v>
      </c>
      <c r="D150" s="82">
        <v>454029.3956033907</v>
      </c>
      <c r="E150" s="205">
        <v>417072.18729455973</v>
      </c>
      <c r="F150" s="228">
        <v>307419.29596823972</v>
      </c>
      <c r="G150" s="82">
        <v>315145.49834679568</v>
      </c>
      <c r="H150" s="82">
        <v>304619.03238685383</v>
      </c>
    </row>
    <row r="151" spans="1:8">
      <c r="A151" s="125" t="str">
        <f>HLOOKUP(INDICE!$F$2,Nombres!$C$3:$E$853,116)</f>
        <v>Economic capital allocated</v>
      </c>
      <c r="B151" s="204">
        <v>83296.877652334049</v>
      </c>
      <c r="C151" s="82">
        <v>83254.503108147052</v>
      </c>
      <c r="D151" s="82">
        <v>86333.612551990562</v>
      </c>
      <c r="E151" s="205">
        <v>92292.018658164365</v>
      </c>
      <c r="F151" s="228">
        <v>80810.194616510867</v>
      </c>
      <c r="G151" s="82">
        <v>91788.975814017336</v>
      </c>
      <c r="H151" s="82">
        <v>93173.421281308518</v>
      </c>
    </row>
    <row r="152" spans="1:8">
      <c r="A152" s="215"/>
      <c r="B152" s="69"/>
      <c r="C152" s="82"/>
      <c r="D152" s="82"/>
      <c r="E152" s="82"/>
      <c r="F152" s="82"/>
      <c r="G152" s="82"/>
      <c r="H152" s="82"/>
    </row>
    <row r="153" spans="1:8">
      <c r="A153" s="125"/>
      <c r="B153" s="69"/>
      <c r="C153" s="82"/>
      <c r="D153" s="82"/>
      <c r="E153" s="82"/>
      <c r="F153" s="82"/>
      <c r="G153" s="82"/>
      <c r="H153" s="82"/>
    </row>
    <row r="154" spans="1:8" ht="18">
      <c r="A154" s="65" t="str">
        <f>HLOOKUP(INDICE!$F$2,Nombres!$C$3:$E$853,117)</f>
        <v>Relevant business indicators</v>
      </c>
      <c r="B154" s="67"/>
      <c r="C154" s="67"/>
      <c r="D154" s="67"/>
      <c r="E154" s="67"/>
      <c r="F154" s="67"/>
      <c r="G154" s="67"/>
      <c r="H154" s="67"/>
    </row>
    <row r="155" spans="1:8">
      <c r="A155" s="68" t="str">
        <f>HLOOKUP(INDICE!$F$2,Nombres!$C$3:$E$853,329)</f>
        <v>(Million Mexican pesos)</v>
      </c>
      <c r="B155" s="72"/>
      <c r="C155" s="72"/>
      <c r="D155" s="72"/>
      <c r="E155" s="72"/>
      <c r="F155" s="72"/>
      <c r="G155" s="72"/>
      <c r="H155" s="72"/>
    </row>
    <row r="156" spans="1:8" ht="15.75">
      <c r="A156" s="72"/>
      <c r="B156" s="59">
        <v>42825</v>
      </c>
      <c r="C156" s="59">
        <v>42916</v>
      </c>
      <c r="D156" s="59">
        <v>43008</v>
      </c>
      <c r="E156" s="59">
        <v>43100</v>
      </c>
      <c r="F156" s="59">
        <v>43190</v>
      </c>
      <c r="G156" s="59">
        <v>43281</v>
      </c>
      <c r="H156" s="59">
        <v>43373</v>
      </c>
    </row>
    <row r="157" spans="1:8">
      <c r="A157" s="125" t="str">
        <f>HLOOKUP(INDICE!$F$2,Nombres!$C$3:$E$853,118)</f>
        <v>Loans and advances to customers (gross) (*)</v>
      </c>
      <c r="B157" s="214">
        <v>1066601.5297918166</v>
      </c>
      <c r="C157" s="69">
        <v>1090073.4581536374</v>
      </c>
      <c r="D157" s="69">
        <v>1108773.4159841184</v>
      </c>
      <c r="E157" s="69">
        <v>1115718.3285379645</v>
      </c>
      <c r="F157" s="214">
        <v>1085485.5552080185</v>
      </c>
      <c r="G157" s="69">
        <v>1169785.6440061324</v>
      </c>
      <c r="H157" s="69">
        <v>1170320.8389604478</v>
      </c>
    </row>
    <row r="158" spans="1:8">
      <c r="A158" s="125" t="str">
        <f>HLOOKUP(INDICE!$F$2,Nombres!$C$3:$E$853,315)</f>
        <v>Customer deposits under management (*)</v>
      </c>
      <c r="B158" s="213">
        <v>967344.67423592752</v>
      </c>
      <c r="C158" s="82">
        <v>1001365.8686562923</v>
      </c>
      <c r="D158" s="82">
        <v>1068744.5555819294</v>
      </c>
      <c r="E158" s="82">
        <v>1066951.0152823986</v>
      </c>
      <c r="F158" s="213">
        <v>1036690.034703007</v>
      </c>
      <c r="G158" s="82">
        <v>1101564.9196517402</v>
      </c>
      <c r="H158" s="69">
        <v>1072936.0472818748</v>
      </c>
    </row>
    <row r="159" spans="1:8">
      <c r="A159" s="125" t="str">
        <f>HLOOKUP(INDICE!$F$2,Nombres!$C$3:$E$853,122)</f>
        <v>Mutual funds</v>
      </c>
      <c r="B159" s="213">
        <v>356728.19999999995</v>
      </c>
      <c r="C159" s="82">
        <v>367842.63300008234</v>
      </c>
      <c r="D159" s="82">
        <v>384992.6390001073</v>
      </c>
      <c r="E159" s="82">
        <v>388766.12759695237</v>
      </c>
      <c r="F159" s="213">
        <v>396161.17432616284</v>
      </c>
      <c r="G159" s="82">
        <v>410336.27401848842</v>
      </c>
      <c r="H159" s="69">
        <v>417315.5542340026</v>
      </c>
    </row>
    <row r="160" spans="1:8">
      <c r="A160" s="125" t="str">
        <f>HLOOKUP(INDICE!$F$2,Nombres!$C$3:$E$853,206)</f>
        <v>Pension funds</v>
      </c>
      <c r="B160" s="213">
        <v>0</v>
      </c>
      <c r="C160" s="82">
        <v>0</v>
      </c>
      <c r="D160" s="82">
        <v>0</v>
      </c>
      <c r="E160" s="82">
        <v>0</v>
      </c>
      <c r="F160" s="213">
        <v>0</v>
      </c>
      <c r="G160" s="82" t="s">
        <v>744</v>
      </c>
      <c r="H160" s="69">
        <v>0</v>
      </c>
    </row>
    <row r="161" spans="1:8">
      <c r="A161" s="125" t="str">
        <f>HLOOKUP(INDICE!$F$2,Nombres!$C$3:$E$853,308)</f>
        <v>Other off balance-sheet funds</v>
      </c>
      <c r="B161" s="213">
        <v>58110.529299984002</v>
      </c>
      <c r="C161" s="82">
        <v>65247.817300028823</v>
      </c>
      <c r="D161" s="82">
        <v>69818.596300032194</v>
      </c>
      <c r="E161" s="82">
        <v>71965.267580152853</v>
      </c>
      <c r="F161" s="213">
        <v>55069.008556594206</v>
      </c>
      <c r="G161" s="82">
        <v>66128.788107223765</v>
      </c>
      <c r="H161" s="69">
        <v>68868.889145358713</v>
      </c>
    </row>
    <row r="162" spans="1:8">
      <c r="A162" s="215" t="str">
        <f>HLOOKUP(INDICE!$F$2,Nombres!$C$3:$E$853,312)</f>
        <v xml:space="preserve">(*) Excluding repos. </v>
      </c>
      <c r="B162" s="212"/>
      <c r="C162" s="216"/>
      <c r="D162" s="216"/>
      <c r="E162" s="216"/>
      <c r="F162" s="216"/>
      <c r="G162" s="72"/>
      <c r="H162" s="72"/>
    </row>
    <row r="163" spans="1:8">
      <c r="A163" s="215" t="str">
        <f>HLOOKUP(INDICE!$F$2,Nombres!$C$3:$E$853,313)</f>
        <v xml:space="preserve"> </v>
      </c>
      <c r="B163" s="212"/>
      <c r="C163" s="216"/>
      <c r="D163" s="216"/>
      <c r="E163" s="216"/>
      <c r="F163" s="216"/>
      <c r="G163" s="72"/>
      <c r="H163" s="72"/>
    </row>
    <row r="164" spans="1:8">
      <c r="A164" s="72"/>
      <c r="B164" s="72"/>
      <c r="C164" s="72"/>
      <c r="D164" s="72"/>
      <c r="E164" s="72"/>
      <c r="F164" s="72"/>
      <c r="G164" s="72"/>
      <c r="H164" s="72"/>
    </row>
    <row r="165" spans="1:8">
      <c r="A165" s="72"/>
      <c r="B165" s="72"/>
      <c r="C165" s="72"/>
      <c r="D165" s="72"/>
      <c r="E165" s="72"/>
      <c r="F165" s="72"/>
      <c r="G165" s="72"/>
      <c r="H165" s="72"/>
    </row>
  </sheetData>
  <mergeCells count="6">
    <mergeCell ref="B6:E6"/>
    <mergeCell ref="F6:H6"/>
    <mergeCell ref="B60:E60"/>
    <mergeCell ref="F60:H60"/>
    <mergeCell ref="B114:E114"/>
    <mergeCell ref="F114:H1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0"/>
  <sheetViews>
    <sheetView showGridLines="0" zoomScale="85" zoomScaleNormal="85" workbookViewId="0"/>
  </sheetViews>
  <sheetFormatPr baseColWidth="10" defaultRowHeight="15"/>
  <cols>
    <col min="1" max="1" width="66.7109375" style="217" customWidth="1"/>
    <col min="2" max="2" width="11.28515625" bestFit="1" customWidth="1"/>
    <col min="3" max="5" width="11.28515625" style="218" bestFit="1" customWidth="1"/>
    <col min="6" max="6" width="11.28515625" bestFit="1" customWidth="1"/>
    <col min="7" max="7" width="12.42578125" customWidth="1"/>
    <col min="8" max="8" width="10.7109375" customWidth="1"/>
    <col min="255" max="255" width="66.7109375" customWidth="1"/>
    <col min="256" max="260" width="11.28515625" bestFit="1" customWidth="1"/>
    <col min="261" max="261" width="12.42578125" customWidth="1"/>
    <col min="262" max="263" width="10.7109375" customWidth="1"/>
    <col min="511" max="511" width="66.7109375" customWidth="1"/>
    <col min="512" max="516" width="11.28515625" bestFit="1" customWidth="1"/>
    <col min="517" max="517" width="12.42578125" customWidth="1"/>
    <col min="518" max="519" width="10.7109375" customWidth="1"/>
    <col min="767" max="767" width="66.7109375" customWidth="1"/>
    <col min="768" max="772" width="11.28515625" bestFit="1" customWidth="1"/>
    <col min="773" max="773" width="12.42578125" customWidth="1"/>
    <col min="774" max="775" width="10.7109375" customWidth="1"/>
    <col min="1023" max="1023" width="66.7109375" customWidth="1"/>
    <col min="1024" max="1028" width="11.28515625" bestFit="1" customWidth="1"/>
    <col min="1029" max="1029" width="12.42578125" customWidth="1"/>
    <col min="1030" max="1031" width="10.7109375" customWidth="1"/>
    <col min="1279" max="1279" width="66.7109375" customWidth="1"/>
    <col min="1280" max="1284" width="11.28515625" bestFit="1" customWidth="1"/>
    <col min="1285" max="1285" width="12.42578125" customWidth="1"/>
    <col min="1286" max="1287" width="10.7109375" customWidth="1"/>
    <col min="1535" max="1535" width="66.7109375" customWidth="1"/>
    <col min="1536" max="1540" width="11.28515625" bestFit="1" customWidth="1"/>
    <col min="1541" max="1541" width="12.42578125" customWidth="1"/>
    <col min="1542" max="1543" width="10.7109375" customWidth="1"/>
    <col min="1791" max="1791" width="66.7109375" customWidth="1"/>
    <col min="1792" max="1796" width="11.28515625" bestFit="1" customWidth="1"/>
    <col min="1797" max="1797" width="12.42578125" customWidth="1"/>
    <col min="1798" max="1799" width="10.7109375" customWidth="1"/>
    <col min="2047" max="2047" width="66.7109375" customWidth="1"/>
    <col min="2048" max="2052" width="11.28515625" bestFit="1" customWidth="1"/>
    <col min="2053" max="2053" width="12.42578125" customWidth="1"/>
    <col min="2054" max="2055" width="10.7109375" customWidth="1"/>
    <col min="2303" max="2303" width="66.7109375" customWidth="1"/>
    <col min="2304" max="2308" width="11.28515625" bestFit="1" customWidth="1"/>
    <col min="2309" max="2309" width="12.42578125" customWidth="1"/>
    <col min="2310" max="2311" width="10.7109375" customWidth="1"/>
    <col min="2559" max="2559" width="66.7109375" customWidth="1"/>
    <col min="2560" max="2564" width="11.28515625" bestFit="1" customWidth="1"/>
    <col min="2565" max="2565" width="12.42578125" customWidth="1"/>
    <col min="2566" max="2567" width="10.7109375" customWidth="1"/>
    <col min="2815" max="2815" width="66.7109375" customWidth="1"/>
    <col min="2816" max="2820" width="11.28515625" bestFit="1" customWidth="1"/>
    <col min="2821" max="2821" width="12.42578125" customWidth="1"/>
    <col min="2822" max="2823" width="10.7109375" customWidth="1"/>
    <col min="3071" max="3071" width="66.7109375" customWidth="1"/>
    <col min="3072" max="3076" width="11.28515625" bestFit="1" customWidth="1"/>
    <col min="3077" max="3077" width="12.42578125" customWidth="1"/>
    <col min="3078" max="3079" width="10.7109375" customWidth="1"/>
    <col min="3327" max="3327" width="66.7109375" customWidth="1"/>
    <col min="3328" max="3332" width="11.28515625" bestFit="1" customWidth="1"/>
    <col min="3333" max="3333" width="12.42578125" customWidth="1"/>
    <col min="3334" max="3335" width="10.7109375" customWidth="1"/>
    <col min="3583" max="3583" width="66.7109375" customWidth="1"/>
    <col min="3584" max="3588" width="11.28515625" bestFit="1" customWidth="1"/>
    <col min="3589" max="3589" width="12.42578125" customWidth="1"/>
    <col min="3590" max="3591" width="10.7109375" customWidth="1"/>
    <col min="3839" max="3839" width="66.7109375" customWidth="1"/>
    <col min="3840" max="3844" width="11.28515625" bestFit="1" customWidth="1"/>
    <col min="3845" max="3845" width="12.42578125" customWidth="1"/>
    <col min="3846" max="3847" width="10.7109375" customWidth="1"/>
    <col min="4095" max="4095" width="66.7109375" customWidth="1"/>
    <col min="4096" max="4100" width="11.28515625" bestFit="1" customWidth="1"/>
    <col min="4101" max="4101" width="12.42578125" customWidth="1"/>
    <col min="4102" max="4103" width="10.7109375" customWidth="1"/>
    <col min="4351" max="4351" width="66.7109375" customWidth="1"/>
    <col min="4352" max="4356" width="11.28515625" bestFit="1" customWidth="1"/>
    <col min="4357" max="4357" width="12.42578125" customWidth="1"/>
    <col min="4358" max="4359" width="10.7109375" customWidth="1"/>
    <col min="4607" max="4607" width="66.7109375" customWidth="1"/>
    <col min="4608" max="4612" width="11.28515625" bestFit="1" customWidth="1"/>
    <col min="4613" max="4613" width="12.42578125" customWidth="1"/>
    <col min="4614" max="4615" width="10.7109375" customWidth="1"/>
    <col min="4863" max="4863" width="66.7109375" customWidth="1"/>
    <col min="4864" max="4868" width="11.28515625" bestFit="1" customWidth="1"/>
    <col min="4869" max="4869" width="12.42578125" customWidth="1"/>
    <col min="4870" max="4871" width="10.7109375" customWidth="1"/>
    <col min="5119" max="5119" width="66.7109375" customWidth="1"/>
    <col min="5120" max="5124" width="11.28515625" bestFit="1" customWidth="1"/>
    <col min="5125" max="5125" width="12.42578125" customWidth="1"/>
    <col min="5126" max="5127" width="10.7109375" customWidth="1"/>
    <col min="5375" max="5375" width="66.7109375" customWidth="1"/>
    <col min="5376" max="5380" width="11.28515625" bestFit="1" customWidth="1"/>
    <col min="5381" max="5381" width="12.42578125" customWidth="1"/>
    <col min="5382" max="5383" width="10.7109375" customWidth="1"/>
    <col min="5631" max="5631" width="66.7109375" customWidth="1"/>
    <col min="5632" max="5636" width="11.28515625" bestFit="1" customWidth="1"/>
    <col min="5637" max="5637" width="12.42578125" customWidth="1"/>
    <col min="5638" max="5639" width="10.7109375" customWidth="1"/>
    <col min="5887" max="5887" width="66.7109375" customWidth="1"/>
    <col min="5888" max="5892" width="11.28515625" bestFit="1" customWidth="1"/>
    <col min="5893" max="5893" width="12.42578125" customWidth="1"/>
    <col min="5894" max="5895" width="10.7109375" customWidth="1"/>
    <col min="6143" max="6143" width="66.7109375" customWidth="1"/>
    <col min="6144" max="6148" width="11.28515625" bestFit="1" customWidth="1"/>
    <col min="6149" max="6149" width="12.42578125" customWidth="1"/>
    <col min="6150" max="6151" width="10.7109375" customWidth="1"/>
    <col min="6399" max="6399" width="66.7109375" customWidth="1"/>
    <col min="6400" max="6404" width="11.28515625" bestFit="1" customWidth="1"/>
    <col min="6405" max="6405" width="12.42578125" customWidth="1"/>
    <col min="6406" max="6407" width="10.7109375" customWidth="1"/>
    <col min="6655" max="6655" width="66.7109375" customWidth="1"/>
    <col min="6656" max="6660" width="11.28515625" bestFit="1" customWidth="1"/>
    <col min="6661" max="6661" width="12.42578125" customWidth="1"/>
    <col min="6662" max="6663" width="10.7109375" customWidth="1"/>
    <col min="6911" max="6911" width="66.7109375" customWidth="1"/>
    <col min="6912" max="6916" width="11.28515625" bestFit="1" customWidth="1"/>
    <col min="6917" max="6917" width="12.42578125" customWidth="1"/>
    <col min="6918" max="6919" width="10.7109375" customWidth="1"/>
    <col min="7167" max="7167" width="66.7109375" customWidth="1"/>
    <col min="7168" max="7172" width="11.28515625" bestFit="1" customWidth="1"/>
    <col min="7173" max="7173" width="12.42578125" customWidth="1"/>
    <col min="7174" max="7175" width="10.7109375" customWidth="1"/>
    <col min="7423" max="7423" width="66.7109375" customWidth="1"/>
    <col min="7424" max="7428" width="11.28515625" bestFit="1" customWidth="1"/>
    <col min="7429" max="7429" width="12.42578125" customWidth="1"/>
    <col min="7430" max="7431" width="10.7109375" customWidth="1"/>
    <col min="7679" max="7679" width="66.7109375" customWidth="1"/>
    <col min="7680" max="7684" width="11.28515625" bestFit="1" customWidth="1"/>
    <col min="7685" max="7685" width="12.42578125" customWidth="1"/>
    <col min="7686" max="7687" width="10.7109375" customWidth="1"/>
    <col min="7935" max="7935" width="66.7109375" customWidth="1"/>
    <col min="7936" max="7940" width="11.28515625" bestFit="1" customWidth="1"/>
    <col min="7941" max="7941" width="12.42578125" customWidth="1"/>
    <col min="7942" max="7943" width="10.7109375" customWidth="1"/>
    <col min="8191" max="8191" width="66.7109375" customWidth="1"/>
    <col min="8192" max="8196" width="11.28515625" bestFit="1" customWidth="1"/>
    <col min="8197" max="8197" width="12.42578125" customWidth="1"/>
    <col min="8198" max="8199" width="10.7109375" customWidth="1"/>
    <col min="8447" max="8447" width="66.7109375" customWidth="1"/>
    <col min="8448" max="8452" width="11.28515625" bestFit="1" customWidth="1"/>
    <col min="8453" max="8453" width="12.42578125" customWidth="1"/>
    <col min="8454" max="8455" width="10.7109375" customWidth="1"/>
    <col min="8703" max="8703" width="66.7109375" customWidth="1"/>
    <col min="8704" max="8708" width="11.28515625" bestFit="1" customWidth="1"/>
    <col min="8709" max="8709" width="12.42578125" customWidth="1"/>
    <col min="8710" max="8711" width="10.7109375" customWidth="1"/>
    <col min="8959" max="8959" width="66.7109375" customWidth="1"/>
    <col min="8960" max="8964" width="11.28515625" bestFit="1" customWidth="1"/>
    <col min="8965" max="8965" width="12.42578125" customWidth="1"/>
    <col min="8966" max="8967" width="10.7109375" customWidth="1"/>
    <col min="9215" max="9215" width="66.7109375" customWidth="1"/>
    <col min="9216" max="9220" width="11.28515625" bestFit="1" customWidth="1"/>
    <col min="9221" max="9221" width="12.42578125" customWidth="1"/>
    <col min="9222" max="9223" width="10.7109375" customWidth="1"/>
    <col min="9471" max="9471" width="66.7109375" customWidth="1"/>
    <col min="9472" max="9476" width="11.28515625" bestFit="1" customWidth="1"/>
    <col min="9477" max="9477" width="12.42578125" customWidth="1"/>
    <col min="9478" max="9479" width="10.7109375" customWidth="1"/>
    <col min="9727" max="9727" width="66.7109375" customWidth="1"/>
    <col min="9728" max="9732" width="11.28515625" bestFit="1" customWidth="1"/>
    <col min="9733" max="9733" width="12.42578125" customWidth="1"/>
    <col min="9734" max="9735" width="10.7109375" customWidth="1"/>
    <col min="9983" max="9983" width="66.7109375" customWidth="1"/>
    <col min="9984" max="9988" width="11.28515625" bestFit="1" customWidth="1"/>
    <col min="9989" max="9989" width="12.42578125" customWidth="1"/>
    <col min="9990" max="9991" width="10.7109375" customWidth="1"/>
    <col min="10239" max="10239" width="66.7109375" customWidth="1"/>
    <col min="10240" max="10244" width="11.28515625" bestFit="1" customWidth="1"/>
    <col min="10245" max="10245" width="12.42578125" customWidth="1"/>
    <col min="10246" max="10247" width="10.7109375" customWidth="1"/>
    <col min="10495" max="10495" width="66.7109375" customWidth="1"/>
    <col min="10496" max="10500" width="11.28515625" bestFit="1" customWidth="1"/>
    <col min="10501" max="10501" width="12.42578125" customWidth="1"/>
    <col min="10502" max="10503" width="10.7109375" customWidth="1"/>
    <col min="10751" max="10751" width="66.7109375" customWidth="1"/>
    <col min="10752" max="10756" width="11.28515625" bestFit="1" customWidth="1"/>
    <col min="10757" max="10757" width="12.42578125" customWidth="1"/>
    <col min="10758" max="10759" width="10.7109375" customWidth="1"/>
    <col min="11007" max="11007" width="66.7109375" customWidth="1"/>
    <col min="11008" max="11012" width="11.28515625" bestFit="1" customWidth="1"/>
    <col min="11013" max="11013" width="12.42578125" customWidth="1"/>
    <col min="11014" max="11015" width="10.7109375" customWidth="1"/>
    <col min="11263" max="11263" width="66.7109375" customWidth="1"/>
    <col min="11264" max="11268" width="11.28515625" bestFit="1" customWidth="1"/>
    <col min="11269" max="11269" width="12.42578125" customWidth="1"/>
    <col min="11270" max="11271" width="10.7109375" customWidth="1"/>
    <col min="11519" max="11519" width="66.7109375" customWidth="1"/>
    <col min="11520" max="11524" width="11.28515625" bestFit="1" customWidth="1"/>
    <col min="11525" max="11525" width="12.42578125" customWidth="1"/>
    <col min="11526" max="11527" width="10.7109375" customWidth="1"/>
    <col min="11775" max="11775" width="66.7109375" customWidth="1"/>
    <col min="11776" max="11780" width="11.28515625" bestFit="1" customWidth="1"/>
    <col min="11781" max="11781" width="12.42578125" customWidth="1"/>
    <col min="11782" max="11783" width="10.7109375" customWidth="1"/>
    <col min="12031" max="12031" width="66.7109375" customWidth="1"/>
    <col min="12032" max="12036" width="11.28515625" bestFit="1" customWidth="1"/>
    <col min="12037" max="12037" width="12.42578125" customWidth="1"/>
    <col min="12038" max="12039" width="10.7109375" customWidth="1"/>
    <col min="12287" max="12287" width="66.7109375" customWidth="1"/>
    <col min="12288" max="12292" width="11.28515625" bestFit="1" customWidth="1"/>
    <col min="12293" max="12293" width="12.42578125" customWidth="1"/>
    <col min="12294" max="12295" width="10.7109375" customWidth="1"/>
    <col min="12543" max="12543" width="66.7109375" customWidth="1"/>
    <col min="12544" max="12548" width="11.28515625" bestFit="1" customWidth="1"/>
    <col min="12549" max="12549" width="12.42578125" customWidth="1"/>
    <col min="12550" max="12551" width="10.7109375" customWidth="1"/>
    <col min="12799" max="12799" width="66.7109375" customWidth="1"/>
    <col min="12800" max="12804" width="11.28515625" bestFit="1" customWidth="1"/>
    <col min="12805" max="12805" width="12.42578125" customWidth="1"/>
    <col min="12806" max="12807" width="10.7109375" customWidth="1"/>
    <col min="13055" max="13055" width="66.7109375" customWidth="1"/>
    <col min="13056" max="13060" width="11.28515625" bestFit="1" customWidth="1"/>
    <col min="13061" max="13061" width="12.42578125" customWidth="1"/>
    <col min="13062" max="13063" width="10.7109375" customWidth="1"/>
    <col min="13311" max="13311" width="66.7109375" customWidth="1"/>
    <col min="13312" max="13316" width="11.28515625" bestFit="1" customWidth="1"/>
    <col min="13317" max="13317" width="12.42578125" customWidth="1"/>
    <col min="13318" max="13319" width="10.7109375" customWidth="1"/>
    <col min="13567" max="13567" width="66.7109375" customWidth="1"/>
    <col min="13568" max="13572" width="11.28515625" bestFit="1" customWidth="1"/>
    <col min="13573" max="13573" width="12.42578125" customWidth="1"/>
    <col min="13574" max="13575" width="10.7109375" customWidth="1"/>
    <col min="13823" max="13823" width="66.7109375" customWidth="1"/>
    <col min="13824" max="13828" width="11.28515625" bestFit="1" customWidth="1"/>
    <col min="13829" max="13829" width="12.42578125" customWidth="1"/>
    <col min="13830" max="13831" width="10.7109375" customWidth="1"/>
    <col min="14079" max="14079" width="66.7109375" customWidth="1"/>
    <col min="14080" max="14084" width="11.28515625" bestFit="1" customWidth="1"/>
    <col min="14085" max="14085" width="12.42578125" customWidth="1"/>
    <col min="14086" max="14087" width="10.7109375" customWidth="1"/>
    <col min="14335" max="14335" width="66.7109375" customWidth="1"/>
    <col min="14336" max="14340" width="11.28515625" bestFit="1" customWidth="1"/>
    <col min="14341" max="14341" width="12.42578125" customWidth="1"/>
    <col min="14342" max="14343" width="10.7109375" customWidth="1"/>
    <col min="14591" max="14591" width="66.7109375" customWidth="1"/>
    <col min="14592" max="14596" width="11.28515625" bestFit="1" customWidth="1"/>
    <col min="14597" max="14597" width="12.42578125" customWidth="1"/>
    <col min="14598" max="14599" width="10.7109375" customWidth="1"/>
    <col min="14847" max="14847" width="66.7109375" customWidth="1"/>
    <col min="14848" max="14852" width="11.28515625" bestFit="1" customWidth="1"/>
    <col min="14853" max="14853" width="12.42578125" customWidth="1"/>
    <col min="14854" max="14855" width="10.7109375" customWidth="1"/>
    <col min="15103" max="15103" width="66.7109375" customWidth="1"/>
    <col min="15104" max="15108" width="11.28515625" bestFit="1" customWidth="1"/>
    <col min="15109" max="15109" width="12.42578125" customWidth="1"/>
    <col min="15110" max="15111" width="10.7109375" customWidth="1"/>
    <col min="15359" max="15359" width="66.7109375" customWidth="1"/>
    <col min="15360" max="15364" width="11.28515625" bestFit="1" customWidth="1"/>
    <col min="15365" max="15365" width="12.42578125" customWidth="1"/>
    <col min="15366" max="15367" width="10.7109375" customWidth="1"/>
    <col min="15615" max="15615" width="66.7109375" customWidth="1"/>
    <col min="15616" max="15620" width="11.28515625" bestFit="1" customWidth="1"/>
    <col min="15621" max="15621" width="12.42578125" customWidth="1"/>
    <col min="15622" max="15623" width="10.7109375" customWidth="1"/>
    <col min="15871" max="15871" width="66.7109375" customWidth="1"/>
    <col min="15872" max="15876" width="11.28515625" bestFit="1" customWidth="1"/>
    <col min="15877" max="15877" width="12.42578125" customWidth="1"/>
    <col min="15878" max="15879" width="10.7109375" customWidth="1"/>
    <col min="16127" max="16127" width="66.7109375" customWidth="1"/>
    <col min="16128" max="16132" width="11.28515625" bestFit="1" customWidth="1"/>
    <col min="16133" max="16133" width="12.42578125" customWidth="1"/>
    <col min="16134" max="16135" width="10.7109375" customWidth="1"/>
  </cols>
  <sheetData>
    <row r="1" spans="1:8" ht="18" customHeight="1">
      <c r="A1" s="197" t="str">
        <f>HLOOKUP(INDICE!$F$2,Nombres!$C$3:$E$853,295)</f>
        <v xml:space="preserve">Turkey </v>
      </c>
      <c r="B1" s="72"/>
      <c r="C1" s="72"/>
      <c r="D1" s="72"/>
      <c r="E1" s="72"/>
      <c r="F1" s="72"/>
      <c r="G1" s="72"/>
      <c r="H1" s="72"/>
    </row>
    <row r="2" spans="1:8" ht="18" customHeight="1">
      <c r="A2" s="198"/>
      <c r="B2" s="72"/>
      <c r="C2" s="72"/>
      <c r="D2" s="72"/>
      <c r="E2" s="72"/>
      <c r="F2" s="72"/>
      <c r="G2" s="72"/>
      <c r="H2" s="72"/>
    </row>
    <row r="3" spans="1:8" ht="18" customHeight="1">
      <c r="A3" s="65" t="str">
        <f>HLOOKUP(INDICE!$F$2,Nombres!$C$3:$E$853,93)</f>
        <v xml:space="preserve">Income statement  </v>
      </c>
      <c r="B3" s="67"/>
      <c r="C3" s="67"/>
      <c r="D3" s="67"/>
      <c r="E3" s="67"/>
      <c r="F3" s="67"/>
      <c r="G3" s="67"/>
      <c r="H3" s="67"/>
    </row>
    <row r="4" spans="1:8">
      <c r="A4" s="68" t="str">
        <f>HLOOKUP(INDICE!$F$2,Nombres!$C$3:$E$853,30)</f>
        <v>(Million euros)</v>
      </c>
      <c r="B4" s="72"/>
      <c r="C4" s="200"/>
      <c r="D4" s="200"/>
      <c r="E4" s="200"/>
      <c r="F4" s="72"/>
      <c r="G4" s="72"/>
      <c r="H4" s="72"/>
    </row>
    <row r="5" spans="1:8">
      <c r="A5" s="201"/>
      <c r="B5" s="72"/>
      <c r="C5" s="200"/>
      <c r="D5" s="200"/>
      <c r="E5" s="200"/>
      <c r="F5" s="72"/>
      <c r="G5" s="72"/>
      <c r="H5" s="72"/>
    </row>
    <row r="6" spans="1:8" ht="15.75">
      <c r="A6" s="73"/>
      <c r="B6" s="320">
        <v>2017</v>
      </c>
      <c r="C6" s="320"/>
      <c r="D6" s="320"/>
      <c r="E6" s="320"/>
      <c r="F6" s="315">
        <v>2018</v>
      </c>
      <c r="G6" s="316"/>
      <c r="H6" s="316"/>
    </row>
    <row r="7" spans="1:8" ht="15.75">
      <c r="A7" s="73"/>
      <c r="B7" s="93" t="str">
        <f>HLOOKUP(INDICE!$F$2,Nombres!$C$3:$E$857,34)</f>
        <v>1Q</v>
      </c>
      <c r="C7" s="93" t="str">
        <f>HLOOKUP(INDICE!$F$2,Nombres!$C$3:$E$857,35)</f>
        <v>2Q</v>
      </c>
      <c r="D7" s="93" t="str">
        <f>HLOOKUP(INDICE!$F$2,Nombres!$C$3:$E$857,36)</f>
        <v>3Q</v>
      </c>
      <c r="E7" s="93" t="str">
        <f>HLOOKUP(INDICE!$F$2,Nombres!$C$3:$E$857,37)</f>
        <v>4Q</v>
      </c>
      <c r="F7" s="93" t="str">
        <f>HLOOKUP(INDICE!$F$2,Nombres!$C$3:$E$857,34)</f>
        <v>1Q</v>
      </c>
      <c r="G7" s="93" t="str">
        <f>HLOOKUP(INDICE!$F$2,Nombres!$C$3:$E$857,35)</f>
        <v>2Q</v>
      </c>
      <c r="H7" s="93" t="str">
        <f>HLOOKUP(INDICE!$F$2,Nombres!$C$3:$E$857,36)</f>
        <v>3Q</v>
      </c>
    </row>
    <row r="8" spans="1:8">
      <c r="A8" s="139" t="str">
        <f>HLOOKUP(INDICE!$F$2,Nombres!$C$3:$E$853,38)</f>
        <v>Net interest income</v>
      </c>
      <c r="B8" s="202">
        <v>811.96400000000006</v>
      </c>
      <c r="C8" s="77">
        <v>799.37199999999996</v>
      </c>
      <c r="D8" s="77">
        <v>787.82500000000027</v>
      </c>
      <c r="E8" s="203">
        <v>931.39599999999984</v>
      </c>
      <c r="F8" s="77">
        <v>752.75199999999995</v>
      </c>
      <c r="G8" s="77">
        <v>757.03700000000003</v>
      </c>
      <c r="H8" s="77">
        <v>693.88800000000037</v>
      </c>
    </row>
    <row r="9" spans="1:8">
      <c r="A9" s="125" t="str">
        <f>HLOOKUP(INDICE!$F$2,Nombres!$C$3:$E$853,39)</f>
        <v>Net fees and commissions</v>
      </c>
      <c r="B9" s="204">
        <v>171.041</v>
      </c>
      <c r="C9" s="82">
        <v>180.60500000000002</v>
      </c>
      <c r="D9" s="82">
        <v>185.34700000000001</v>
      </c>
      <c r="E9" s="205">
        <v>165.55900000000003</v>
      </c>
      <c r="F9" s="82">
        <v>200.90699999999998</v>
      </c>
      <c r="G9" s="82">
        <v>170.17999999999998</v>
      </c>
      <c r="H9" s="82">
        <v>144.10299999999989</v>
      </c>
    </row>
    <row r="10" spans="1:8">
      <c r="A10" s="125" t="str">
        <f>HLOOKUP(INDICE!$F$2,Nombres!$C$3:$E$853,40)</f>
        <v>Net trading income</v>
      </c>
      <c r="B10" s="204">
        <v>-15.194000000000003</v>
      </c>
      <c r="C10" s="82">
        <v>24.123999999999995</v>
      </c>
      <c r="D10" s="82">
        <v>12.67100000000001</v>
      </c>
      <c r="E10" s="205">
        <v>-7.1579999999999586</v>
      </c>
      <c r="F10" s="82">
        <v>19.763000000000027</v>
      </c>
      <c r="G10" s="82">
        <v>-15.696000000000009</v>
      </c>
      <c r="H10" s="82">
        <v>27.303999999999974</v>
      </c>
    </row>
    <row r="11" spans="1:8">
      <c r="A11" s="125" t="str">
        <f>HLOOKUP(INDICE!$F$2,Nombres!$C$3:$E$853,95)</f>
        <v>Other operating income and expenses</v>
      </c>
      <c r="B11" s="204">
        <v>8.6880000000000006</v>
      </c>
      <c r="C11" s="82">
        <v>17.503999999999994</v>
      </c>
      <c r="D11" s="82">
        <v>23.851000000000006</v>
      </c>
      <c r="E11" s="205">
        <v>17.210999999999999</v>
      </c>
      <c r="F11" s="82">
        <v>22.980000000000008</v>
      </c>
      <c r="G11" s="82">
        <v>15.962999999999999</v>
      </c>
      <c r="H11" s="82">
        <v>11.612000000000005</v>
      </c>
    </row>
    <row r="12" spans="1:8">
      <c r="A12" s="139" t="str">
        <f>HLOOKUP(INDICE!$F$2,Nombres!$C$3:$E$853,44)</f>
        <v>Gross income</v>
      </c>
      <c r="B12" s="202">
        <v>976.49900000000002</v>
      </c>
      <c r="C12" s="77">
        <v>1021.605</v>
      </c>
      <c r="D12" s="77">
        <v>1009.6940000000002</v>
      </c>
      <c r="E12" s="203">
        <v>1107.0079999999998</v>
      </c>
      <c r="F12" s="77">
        <v>996.40200000000004</v>
      </c>
      <c r="G12" s="77">
        <v>927.48399999999992</v>
      </c>
      <c r="H12" s="77">
        <v>876.90700000000038</v>
      </c>
    </row>
    <row r="13" spans="1:8">
      <c r="A13" s="125" t="str">
        <f>HLOOKUP(INDICE!$F$2,Nombres!$C$3:$E$853,45)</f>
        <v>Operating expenses</v>
      </c>
      <c r="B13" s="204">
        <v>-388.59021300000001</v>
      </c>
      <c r="C13" s="82">
        <v>-379.03887399999996</v>
      </c>
      <c r="D13" s="82">
        <v>-367.28053900000003</v>
      </c>
      <c r="E13" s="205">
        <v>-368.22070799999995</v>
      </c>
      <c r="F13" s="82">
        <v>-354.39142248000002</v>
      </c>
      <c r="G13" s="82">
        <v>-322.58922093000001</v>
      </c>
      <c r="H13" s="82">
        <v>-236.72002795999998</v>
      </c>
    </row>
    <row r="14" spans="1:8">
      <c r="A14" s="125" t="str">
        <f>HLOOKUP(INDICE!$F$2,Nombres!$C$3:$E$853,46)</f>
        <v xml:space="preserve">  Administration expenses</v>
      </c>
      <c r="B14" s="204">
        <v>-342.51405799999998</v>
      </c>
      <c r="C14" s="82">
        <v>-332.34982200000002</v>
      </c>
      <c r="D14" s="82">
        <v>-322.568513</v>
      </c>
      <c r="E14" s="205">
        <v>-327.54568499999993</v>
      </c>
      <c r="F14" s="82">
        <v>-314.07140048000002</v>
      </c>
      <c r="G14" s="82">
        <v>-284.68919992999997</v>
      </c>
      <c r="H14" s="82">
        <v>-209.68800596</v>
      </c>
    </row>
    <row r="15" spans="1:8">
      <c r="A15" s="141" t="str">
        <f>HLOOKUP(INDICE!$F$2,Nombres!$C$3:$E$853,47)</f>
        <v xml:space="preserve">  Personnel expenses</v>
      </c>
      <c r="B15" s="204">
        <v>-203.28300000000002</v>
      </c>
      <c r="C15" s="82">
        <v>-204.15200000000002</v>
      </c>
      <c r="D15" s="82">
        <v>-197.66200000000001</v>
      </c>
      <c r="E15" s="205">
        <v>-193.86699999999996</v>
      </c>
      <c r="F15" s="82">
        <v>-177.24811216000001</v>
      </c>
      <c r="G15" s="82">
        <v>-179.13309197000001</v>
      </c>
      <c r="H15" s="82">
        <v>-129.468898</v>
      </c>
    </row>
    <row r="16" spans="1:8">
      <c r="A16" s="141" t="str">
        <f>HLOOKUP(INDICE!$F$2,Nombres!$C$3:$E$853,48)</f>
        <v xml:space="preserve">  General and administrative expenses</v>
      </c>
      <c r="B16" s="204">
        <v>-139.23105800000002</v>
      </c>
      <c r="C16" s="82">
        <v>-128.19782199999997</v>
      </c>
      <c r="D16" s="82">
        <v>-124.906513</v>
      </c>
      <c r="E16" s="205">
        <v>-133.678685</v>
      </c>
      <c r="F16" s="82">
        <v>-136.82328832000002</v>
      </c>
      <c r="G16" s="82">
        <v>-105.55610795999999</v>
      </c>
      <c r="H16" s="82">
        <v>-80.219107960000002</v>
      </c>
    </row>
    <row r="17" spans="1:8" ht="13.5" customHeight="1">
      <c r="A17" s="125" t="str">
        <f>HLOOKUP(INDICE!$F$2,Nombres!$C$3:$E$853,49)</f>
        <v xml:space="preserve">  Depreciation</v>
      </c>
      <c r="B17" s="204">
        <v>-46.076155</v>
      </c>
      <c r="C17" s="82">
        <v>-46.689052000000004</v>
      </c>
      <c r="D17" s="82">
        <v>-44.712026000000002</v>
      </c>
      <c r="E17" s="205">
        <v>-40.675022999999996</v>
      </c>
      <c r="F17" s="82">
        <v>-40.320022000000002</v>
      </c>
      <c r="G17" s="82">
        <v>-37.900021000000002</v>
      </c>
      <c r="H17" s="82">
        <v>-27.032021999999998</v>
      </c>
    </row>
    <row r="18" spans="1:8" ht="12.75" customHeight="1">
      <c r="A18" s="139" t="str">
        <f>HLOOKUP(INDICE!$F$2,Nombres!$C$3:$E$853,50)</f>
        <v>Operating income</v>
      </c>
      <c r="B18" s="202">
        <v>587.90878700000007</v>
      </c>
      <c r="C18" s="77">
        <v>642.56612599999994</v>
      </c>
      <c r="D18" s="77">
        <v>642.41346100000021</v>
      </c>
      <c r="E18" s="203">
        <v>738.78729199999975</v>
      </c>
      <c r="F18" s="77">
        <v>642.01057751999997</v>
      </c>
      <c r="G18" s="77">
        <v>604.89477907000003</v>
      </c>
      <c r="H18" s="77">
        <v>640.18697204000034</v>
      </c>
    </row>
    <row r="19" spans="1:8" ht="13.5" customHeight="1">
      <c r="A19" s="125" t="str">
        <f>HLOOKUP(INDICE!$F$2,Nombres!$C$3:$E$853,51)</f>
        <v>Impaiment on financial assets not measured at fair value through profit or loss</v>
      </c>
      <c r="B19" s="204">
        <v>-120.71699999999998</v>
      </c>
      <c r="C19" s="82">
        <v>-117.90700000000001</v>
      </c>
      <c r="D19" s="82">
        <v>-113.004</v>
      </c>
      <c r="E19" s="205">
        <v>-101.22299999999998</v>
      </c>
      <c r="F19" s="82">
        <v>-150.51899999999998</v>
      </c>
      <c r="G19" s="82">
        <v>-164.83300000000003</v>
      </c>
      <c r="H19" s="82">
        <v>-322.32558970000002</v>
      </c>
    </row>
    <row r="20" spans="1:8" ht="13.5" customHeight="1">
      <c r="A20" s="125" t="str">
        <f>HLOOKUP(INDICE!$F$2,Nombres!$C$3:$E$853,160)</f>
        <v>Provisions or reversal of provisions and other results</v>
      </c>
      <c r="B20" s="204">
        <v>15.994</v>
      </c>
      <c r="C20" s="82">
        <v>1.9559999999999986</v>
      </c>
      <c r="D20" s="82">
        <v>-29.531000000000006</v>
      </c>
      <c r="E20" s="205">
        <v>-0.34799999999999986</v>
      </c>
      <c r="F20" s="82">
        <v>28.770999999999997</v>
      </c>
      <c r="G20" s="82">
        <v>5.6430000000000007</v>
      </c>
      <c r="H20" s="82">
        <v>-17.048999999999999</v>
      </c>
    </row>
    <row r="21" spans="1:8" ht="12.75" customHeight="1">
      <c r="A21" s="139" t="str">
        <f>HLOOKUP(INDICE!$F$2,Nombres!$C$3:$E$853,54)</f>
        <v>Profit/(loss) before tax</v>
      </c>
      <c r="B21" s="202">
        <v>483.18578700000018</v>
      </c>
      <c r="C21" s="77">
        <v>526.61512599999992</v>
      </c>
      <c r="D21" s="77">
        <v>499.87846100000019</v>
      </c>
      <c r="E21" s="203">
        <v>637.21629199999995</v>
      </c>
      <c r="F21" s="77">
        <v>520.26257752000004</v>
      </c>
      <c r="G21" s="77">
        <v>445.70477906999992</v>
      </c>
      <c r="H21" s="77">
        <v>300.81238234000045</v>
      </c>
    </row>
    <row r="22" spans="1:8" ht="13.5" customHeight="1">
      <c r="A22" s="125" t="str">
        <f>HLOOKUP(INDICE!$F$2,Nombres!$C$3:$E$853,55)</f>
        <v>Income tax</v>
      </c>
      <c r="B22" s="204">
        <v>-106.14393610000002</v>
      </c>
      <c r="C22" s="82">
        <v>-94.363137800000018</v>
      </c>
      <c r="D22" s="82">
        <v>-107.89363829999999</v>
      </c>
      <c r="E22" s="205">
        <v>-118.08848759999998</v>
      </c>
      <c r="F22" s="82">
        <v>-113.62627325</v>
      </c>
      <c r="G22" s="82">
        <v>-96.799633730000011</v>
      </c>
      <c r="H22" s="82">
        <v>-67.78609161</v>
      </c>
    </row>
    <row r="23" spans="1:8" ht="13.5" customHeight="1">
      <c r="A23" s="139" t="str">
        <f>HLOOKUP(INDICE!$F$2,Nombres!$C$3:$E$853,56)</f>
        <v>Profit/(loss) for the year</v>
      </c>
      <c r="B23" s="202">
        <v>377.04185090000021</v>
      </c>
      <c r="C23" s="77">
        <v>432.25198819999991</v>
      </c>
      <c r="D23" s="77">
        <v>391.98482270000017</v>
      </c>
      <c r="E23" s="203">
        <v>519.12780439999995</v>
      </c>
      <c r="F23" s="77">
        <v>406.63630426999998</v>
      </c>
      <c r="G23" s="77">
        <v>348.90514533999993</v>
      </c>
      <c r="H23" s="77">
        <v>233.0262907300004</v>
      </c>
    </row>
    <row r="24" spans="1:8" ht="12" customHeight="1">
      <c r="A24" s="125" t="str">
        <f>HLOOKUP(INDICE!$F$2,Nombres!$C$3:$E$853,57)</f>
        <v>Non-controlling interests</v>
      </c>
      <c r="B24" s="204">
        <v>-217.34699999999998</v>
      </c>
      <c r="C24" s="82">
        <v>-218.33499999999998</v>
      </c>
      <c r="D24" s="82">
        <v>-197.83900000000006</v>
      </c>
      <c r="E24" s="205">
        <v>-261.29730549999994</v>
      </c>
      <c r="F24" s="82">
        <v>-205.84900000000002</v>
      </c>
      <c r="G24" s="82">
        <v>-176.70199999999997</v>
      </c>
      <c r="H24" s="82">
        <v>-118.43800000000003</v>
      </c>
    </row>
    <row r="25" spans="1:8" ht="14.25" customHeight="1">
      <c r="A25" s="206" t="str">
        <f>HLOOKUP(INDICE!$F$2,Nombres!$C$3:$E$853,58)</f>
        <v>Net attributable profit</v>
      </c>
      <c r="B25" s="207">
        <v>159.69485090000018</v>
      </c>
      <c r="C25" s="208">
        <v>213.91698819999996</v>
      </c>
      <c r="D25" s="208">
        <v>194.14582270000011</v>
      </c>
      <c r="E25" s="209">
        <v>257.83049890000007</v>
      </c>
      <c r="F25" s="208">
        <v>200.78730426999999</v>
      </c>
      <c r="G25" s="208">
        <v>172.20314533999996</v>
      </c>
      <c r="H25" s="208">
        <v>114.5882907300004</v>
      </c>
    </row>
    <row r="26" spans="1:8" ht="28.5" customHeight="1">
      <c r="A26" s="318"/>
      <c r="B26" s="318"/>
      <c r="C26" s="318"/>
      <c r="D26" s="318"/>
      <c r="E26" s="318"/>
      <c r="F26" s="318"/>
      <c r="G26" s="318"/>
      <c r="H26" s="318"/>
    </row>
    <row r="27" spans="1:8" ht="14.25" customHeight="1">
      <c r="A27" s="139"/>
      <c r="B27" s="77"/>
      <c r="C27" s="77"/>
      <c r="D27" s="77"/>
      <c r="E27" s="77"/>
      <c r="F27" s="77"/>
      <c r="G27" s="77"/>
      <c r="H27" s="77"/>
    </row>
    <row r="28" spans="1:8" ht="18" customHeight="1">
      <c r="A28" s="65" t="str">
        <f>HLOOKUP(INDICE!$F$2,Nombres!$C$3:$E$853,94)</f>
        <v>Balance sheets</v>
      </c>
      <c r="B28" s="67"/>
      <c r="C28" s="67"/>
      <c r="D28" s="67"/>
      <c r="E28" s="67"/>
      <c r="F28" s="67"/>
      <c r="G28" s="67"/>
      <c r="H28" s="67"/>
    </row>
    <row r="29" spans="1:8" ht="12.75" customHeight="1">
      <c r="A29" s="68" t="str">
        <f>HLOOKUP(INDICE!$F$2,Nombres!$C$3:$E$853,30)</f>
        <v>(Million euros)</v>
      </c>
      <c r="B29" s="72"/>
      <c r="C29" s="211"/>
      <c r="D29" s="211"/>
      <c r="E29" s="211"/>
      <c r="F29" s="84"/>
      <c r="G29" s="212"/>
      <c r="H29" s="212"/>
    </row>
    <row r="30" spans="1:8" ht="15.75">
      <c r="A30" s="72"/>
      <c r="B30" s="59">
        <v>42825</v>
      </c>
      <c r="C30" s="59">
        <v>42916</v>
      </c>
      <c r="D30" s="59">
        <v>43008</v>
      </c>
      <c r="E30" s="59">
        <v>43100</v>
      </c>
      <c r="F30" s="59">
        <v>43190</v>
      </c>
      <c r="G30" s="59">
        <v>43281</v>
      </c>
      <c r="H30" s="59">
        <v>43373</v>
      </c>
    </row>
    <row r="31" spans="1:8">
      <c r="A31" s="125" t="str">
        <f>HLOOKUP(INDICE!$F$2,Nombres!$C$3:$E$853,100)</f>
        <v>Cash, cash balances at central banks and other demand deposits</v>
      </c>
      <c r="B31" s="204">
        <v>2132</v>
      </c>
      <c r="C31" s="82">
        <v>1917</v>
      </c>
      <c r="D31" s="82">
        <v>3547</v>
      </c>
      <c r="E31" s="205">
        <v>4036</v>
      </c>
      <c r="F31" s="82">
        <v>2942</v>
      </c>
      <c r="G31" s="82">
        <v>4170.6750000000002</v>
      </c>
      <c r="H31" s="82">
        <v>7628.3759999999993</v>
      </c>
    </row>
    <row r="32" spans="1:8">
      <c r="A32" s="125" t="str">
        <f>HLOOKUP(INDICE!$F$2,Nombres!$C$3:$E$853,101)</f>
        <v xml:space="preserve">Financial assets designated at fair value </v>
      </c>
      <c r="B32" s="204">
        <v>6985</v>
      </c>
      <c r="C32" s="82">
        <v>6539</v>
      </c>
      <c r="D32" s="82">
        <v>6418</v>
      </c>
      <c r="E32" s="205">
        <v>6419</v>
      </c>
      <c r="F32" s="82">
        <v>5993</v>
      </c>
      <c r="G32" s="82">
        <v>5886.0990000000002</v>
      </c>
      <c r="H32" s="82">
        <v>5545.4269999999997</v>
      </c>
    </row>
    <row r="33" spans="1:8">
      <c r="A33" s="125" t="str">
        <f>HLOOKUP(INDICE!$F$2,Nombres!$C$3:$E$853,406)</f>
        <v>Financial assets at amortized cost</v>
      </c>
      <c r="B33" s="204">
        <v>72382</v>
      </c>
      <c r="C33" s="82">
        <v>72145</v>
      </c>
      <c r="D33" s="82">
        <v>67887</v>
      </c>
      <c r="E33" s="205">
        <v>65083</v>
      </c>
      <c r="F33" s="82">
        <v>62420</v>
      </c>
      <c r="G33" s="82">
        <v>59843.761000009996</v>
      </c>
      <c r="H33" s="82">
        <v>50343.63620021</v>
      </c>
    </row>
    <row r="34" spans="1:8">
      <c r="A34" s="125" t="str">
        <f>HLOOKUP(INDICE!$F$2,Nombres!$C$3:$E$853,103)</f>
        <v xml:space="preserve">    of which loans and advances to customers</v>
      </c>
      <c r="B34" s="204">
        <v>55590</v>
      </c>
      <c r="C34" s="82">
        <v>55248</v>
      </c>
      <c r="D34" s="82">
        <v>53203</v>
      </c>
      <c r="E34" s="205">
        <v>51378</v>
      </c>
      <c r="F34" s="82">
        <v>49751</v>
      </c>
      <c r="G34" s="82">
        <v>48529.501000009994</v>
      </c>
      <c r="H34" s="82">
        <v>40832.880200209998</v>
      </c>
    </row>
    <row r="35" spans="1:8">
      <c r="A35" s="125" t="str">
        <f>HLOOKUP(INDICE!$F$2,Nombres!$C$3:$E$853,106)</f>
        <v>Tangible assets</v>
      </c>
      <c r="B35" s="204">
        <v>1366</v>
      </c>
      <c r="C35" s="82">
        <v>1385</v>
      </c>
      <c r="D35" s="82">
        <v>1355</v>
      </c>
      <c r="E35" s="205">
        <v>1344</v>
      </c>
      <c r="F35" s="82">
        <v>1252</v>
      </c>
      <c r="G35" s="82">
        <v>1173.6870000000001</v>
      </c>
      <c r="H35" s="82">
        <v>924.19099999999992</v>
      </c>
    </row>
    <row r="36" spans="1:8">
      <c r="A36" s="125" t="str">
        <f>HLOOKUP(INDICE!$F$2,Nombres!$C$3:$E$853,107)</f>
        <v>Other assets</v>
      </c>
      <c r="B36" s="204">
        <v>2171</v>
      </c>
      <c r="C36" s="82">
        <v>1909</v>
      </c>
      <c r="D36" s="82">
        <v>1803</v>
      </c>
      <c r="E36" s="205">
        <v>1811</v>
      </c>
      <c r="F36" s="82">
        <v>1781</v>
      </c>
      <c r="G36" s="82">
        <v>1743.9970000000003</v>
      </c>
      <c r="H36" s="82">
        <v>1593.2150000000001</v>
      </c>
    </row>
    <row r="37" spans="1:8">
      <c r="A37" s="206" t="str">
        <f>HLOOKUP(INDICE!$F$2,Nombres!$C$3:$E$853,108)</f>
        <v>Total assets / Liabilities and equity</v>
      </c>
      <c r="B37" s="207">
        <v>85035</v>
      </c>
      <c r="C37" s="208">
        <v>83895</v>
      </c>
      <c r="D37" s="208">
        <v>81010</v>
      </c>
      <c r="E37" s="209">
        <v>78694</v>
      </c>
      <c r="F37" s="208">
        <v>74389</v>
      </c>
      <c r="G37" s="208">
        <v>72818.219000009994</v>
      </c>
      <c r="H37" s="208">
        <v>66034.845200209995</v>
      </c>
    </row>
    <row r="38" spans="1:8">
      <c r="A38" s="125" t="str">
        <f>HLOOKUP(INDICE!$F$2,Nombres!$C$3:$E$853,111)</f>
        <v>Financial liabilities held for trading and designated at fair value through profit or loss</v>
      </c>
      <c r="B38" s="204">
        <v>715</v>
      </c>
      <c r="C38" s="82">
        <v>615</v>
      </c>
      <c r="D38" s="82">
        <v>553</v>
      </c>
      <c r="E38" s="205">
        <v>648</v>
      </c>
      <c r="F38" s="82">
        <v>1602</v>
      </c>
      <c r="G38" s="82">
        <v>2027.4639999999999</v>
      </c>
      <c r="H38" s="82">
        <v>2561.8630000000003</v>
      </c>
    </row>
    <row r="39" spans="1:8">
      <c r="A39" s="125" t="str">
        <f>HLOOKUP(INDICE!$F$2,Nombres!$C$3:$E$853,109)</f>
        <v>Deposits from central banks and credit institutions</v>
      </c>
      <c r="B39" s="204">
        <v>14361</v>
      </c>
      <c r="C39" s="82">
        <v>13210</v>
      </c>
      <c r="D39" s="82">
        <v>12589</v>
      </c>
      <c r="E39" s="205">
        <v>11195</v>
      </c>
      <c r="F39" s="82">
        <v>9021</v>
      </c>
      <c r="G39" s="82">
        <v>9506.2039999999997</v>
      </c>
      <c r="H39" s="82">
        <v>8538.9650000000001</v>
      </c>
    </row>
    <row r="40" spans="1:8">
      <c r="A40" s="125" t="str">
        <f>HLOOKUP(INDICE!$F$2,Nombres!$C$3:$E$853,110)</f>
        <v>Deposits from customers</v>
      </c>
      <c r="B40" s="204">
        <v>46558</v>
      </c>
      <c r="C40" s="82">
        <v>46780</v>
      </c>
      <c r="D40" s="82">
        <v>45650</v>
      </c>
      <c r="E40" s="205">
        <v>44691</v>
      </c>
      <c r="F40" s="82">
        <v>43246</v>
      </c>
      <c r="G40" s="82">
        <v>42308.790000000008</v>
      </c>
      <c r="H40" s="82">
        <v>38841.330000000009</v>
      </c>
    </row>
    <row r="41" spans="1:8" ht="13.5" customHeight="1">
      <c r="A41" s="125" t="str">
        <f>HLOOKUP(INDICE!$F$2,Nombres!$C$3:$E$853,112)</f>
        <v>Debt certificates</v>
      </c>
      <c r="B41" s="204">
        <v>8463</v>
      </c>
      <c r="C41" s="82">
        <v>8649</v>
      </c>
      <c r="D41" s="82">
        <v>8082</v>
      </c>
      <c r="E41" s="205">
        <v>8346</v>
      </c>
      <c r="F41" s="82">
        <v>6941</v>
      </c>
      <c r="G41" s="82">
        <v>6591.4780000000001</v>
      </c>
      <c r="H41" s="82">
        <v>5737.7550000000001</v>
      </c>
    </row>
    <row r="42" spans="1:8">
      <c r="A42" s="125" t="str">
        <f>HLOOKUP(INDICE!$F$2,Nombres!$C$3:$E$853,115)</f>
        <v>Other liabilities</v>
      </c>
      <c r="B42" s="204">
        <v>12755</v>
      </c>
      <c r="C42" s="82">
        <v>11896</v>
      </c>
      <c r="D42" s="82">
        <v>11487</v>
      </c>
      <c r="E42" s="205">
        <v>11321</v>
      </c>
      <c r="F42" s="82">
        <v>11002</v>
      </c>
      <c r="G42" s="82">
        <v>10061.012660009983</v>
      </c>
      <c r="H42" s="82">
        <v>8295.8794076799895</v>
      </c>
    </row>
    <row r="43" spans="1:8" ht="12.75" customHeight="1">
      <c r="A43" s="125" t="str">
        <f>HLOOKUP(INDICE!$F$2,Nombres!$C$3:$E$853,116)</f>
        <v>Economic capital allocated</v>
      </c>
      <c r="B43" s="204">
        <v>2183</v>
      </c>
      <c r="C43" s="82">
        <v>2745</v>
      </c>
      <c r="D43" s="82">
        <v>2648</v>
      </c>
      <c r="E43" s="205">
        <v>2493</v>
      </c>
      <c r="F43" s="82">
        <v>2576</v>
      </c>
      <c r="G43" s="82">
        <v>2323.27034</v>
      </c>
      <c r="H43" s="82">
        <v>2059.0527925300003</v>
      </c>
    </row>
    <row r="44" spans="1:8" ht="12.75" customHeight="1">
      <c r="A44" s="215"/>
      <c r="B44" s="69"/>
      <c r="C44" s="82"/>
      <c r="D44" s="82"/>
      <c r="E44" s="82"/>
      <c r="F44" s="82"/>
      <c r="G44" s="82"/>
      <c r="H44" s="82"/>
    </row>
    <row r="45" spans="1:8" ht="12.75" customHeight="1">
      <c r="A45" s="125"/>
      <c r="B45" s="69"/>
      <c r="C45" s="82"/>
      <c r="D45" s="82"/>
      <c r="E45" s="82"/>
      <c r="F45" s="82"/>
      <c r="G45" s="82"/>
      <c r="H45" s="82"/>
    </row>
    <row r="46" spans="1:8" ht="28.5" customHeight="1">
      <c r="A46" s="321" t="str">
        <f>HLOOKUP(INDICE!$F$2,Nombres!$C$3:$E$853,117)</f>
        <v>Relevant business indicators</v>
      </c>
      <c r="B46" s="321"/>
      <c r="C46" s="321"/>
      <c r="D46" s="321"/>
      <c r="E46" s="321"/>
      <c r="F46" s="321"/>
      <c r="G46" s="321"/>
      <c r="H46" s="321"/>
    </row>
    <row r="47" spans="1:8" ht="13.5" customHeight="1">
      <c r="A47" s="68" t="str">
        <f>HLOOKUP(INDICE!$F$2,Nombres!$C$3:$E$853,30)</f>
        <v>(Million euros)</v>
      </c>
      <c r="B47" s="72"/>
      <c r="C47" s="72"/>
      <c r="D47" s="72"/>
      <c r="E47" s="72"/>
      <c r="F47" s="84"/>
      <c r="G47" s="212"/>
      <c r="H47" s="212"/>
    </row>
    <row r="48" spans="1:8" ht="15.75">
      <c r="A48" s="72"/>
      <c r="B48" s="59">
        <v>42825</v>
      </c>
      <c r="C48" s="59">
        <v>42916</v>
      </c>
      <c r="D48" s="59">
        <v>43008</v>
      </c>
      <c r="E48" s="59">
        <v>43100</v>
      </c>
      <c r="F48" s="59">
        <v>43190</v>
      </c>
      <c r="G48" s="59">
        <v>43281</v>
      </c>
      <c r="H48" s="59">
        <v>43373</v>
      </c>
    </row>
    <row r="49" spans="1:8">
      <c r="A49" s="125" t="str">
        <f>HLOOKUP(INDICE!$F$2,Nombres!$C$3:$E$853,118)</f>
        <v>Loans and advances to customers (gross) (*)</v>
      </c>
      <c r="B49" s="214">
        <v>57926</v>
      </c>
      <c r="C49" s="69">
        <v>57527</v>
      </c>
      <c r="D49" s="69">
        <v>55486</v>
      </c>
      <c r="E49" s="69">
        <v>53445</v>
      </c>
      <c r="F49" s="214">
        <v>51732</v>
      </c>
      <c r="G49" s="69">
        <v>50598.133000000002</v>
      </c>
      <c r="H49" s="69">
        <v>42889.364999989994</v>
      </c>
    </row>
    <row r="50" spans="1:8">
      <c r="A50" s="125" t="str">
        <f>HLOOKUP(INDICE!$F$2,Nombres!$C$3:$E$853,315)</f>
        <v>Customer deposits under management (*)</v>
      </c>
      <c r="B50" s="214">
        <v>46541.919927894</v>
      </c>
      <c r="C50" s="69">
        <v>46765.231361434999</v>
      </c>
      <c r="D50" s="69">
        <v>45635.460056059994</v>
      </c>
      <c r="E50" s="69">
        <v>44539.442524319995</v>
      </c>
      <c r="F50" s="214">
        <v>43143.436999999991</v>
      </c>
      <c r="G50" s="69">
        <v>42299.251000000004</v>
      </c>
      <c r="H50" s="69">
        <v>38836.124000000003</v>
      </c>
    </row>
    <row r="51" spans="1:8">
      <c r="A51" s="125" t="str">
        <f>HLOOKUP(INDICE!$F$2,Nombres!$C$3:$E$853,122)</f>
        <v>Mutual funds</v>
      </c>
      <c r="B51" s="214">
        <v>1175.337</v>
      </c>
      <c r="C51" s="69">
        <v>1234.171</v>
      </c>
      <c r="D51" s="69">
        <v>1209.6769999999999</v>
      </c>
      <c r="E51" s="69">
        <v>1264.9159999999999</v>
      </c>
      <c r="F51" s="214">
        <v>1331.0719999999999</v>
      </c>
      <c r="G51" s="69">
        <v>1103.4970000000001</v>
      </c>
      <c r="H51" s="69">
        <v>646.62099999999998</v>
      </c>
    </row>
    <row r="52" spans="1:8">
      <c r="A52" s="125" t="str">
        <f>HLOOKUP(INDICE!$F$2,Nombres!$C$3:$E$853,206)</f>
        <v>Pension funds</v>
      </c>
      <c r="B52" s="214">
        <v>2589.0300000000002</v>
      </c>
      <c r="C52" s="69">
        <v>2678.8409999999999</v>
      </c>
      <c r="D52" s="69">
        <v>2704.4560000000001</v>
      </c>
      <c r="E52" s="69">
        <v>2637.067</v>
      </c>
      <c r="F52" s="214">
        <v>2529.7260000000001</v>
      </c>
      <c r="G52" s="69">
        <v>2336.1610000000001</v>
      </c>
      <c r="H52" s="69">
        <v>1936.7750000000001</v>
      </c>
    </row>
    <row r="53" spans="1:8">
      <c r="A53" s="125" t="str">
        <f>HLOOKUP(INDICE!$F$2,Nombres!$C$3:$E$853,308)</f>
        <v>Other off balance-sheet funds</v>
      </c>
      <c r="B53" s="213">
        <v>0</v>
      </c>
      <c r="C53" s="82">
        <v>0</v>
      </c>
      <c r="D53" s="82">
        <v>0</v>
      </c>
      <c r="E53" s="82">
        <v>0</v>
      </c>
      <c r="F53" s="213">
        <v>0</v>
      </c>
      <c r="G53" s="82" t="s">
        <v>744</v>
      </c>
      <c r="H53" s="82" t="s">
        <v>744</v>
      </c>
    </row>
    <row r="54" spans="1:8">
      <c r="A54" s="215" t="str">
        <f>HLOOKUP(INDICE!$F$2,Nombres!$C$3:$E$853,312)</f>
        <v xml:space="preserve">(*) Excluding repos. </v>
      </c>
      <c r="B54" s="69"/>
      <c r="C54" s="69"/>
      <c r="D54" s="69"/>
      <c r="E54" s="69"/>
      <c r="F54" s="69"/>
      <c r="G54" s="69"/>
      <c r="H54" s="69"/>
    </row>
    <row r="55" spans="1:8">
      <c r="A55" s="215" t="str">
        <f>HLOOKUP(INDICE!$F$2,Nombres!$C$3:$E$853,313)</f>
        <v xml:space="preserve"> </v>
      </c>
      <c r="B55" s="72"/>
      <c r="C55" s="72"/>
      <c r="D55" s="72"/>
      <c r="E55" s="72"/>
      <c r="F55" s="72"/>
      <c r="G55" s="72"/>
      <c r="H55" s="72"/>
    </row>
    <row r="56" spans="1:8">
      <c r="A56" s="215"/>
      <c r="B56" s="72"/>
      <c r="C56" s="72"/>
      <c r="D56" s="72"/>
      <c r="E56" s="72"/>
      <c r="F56" s="72"/>
      <c r="G56" s="72"/>
      <c r="H56" s="72"/>
    </row>
    <row r="57" spans="1:8" ht="18">
      <c r="A57" s="65" t="str">
        <f>HLOOKUP(INDICE!$F$2,Nombres!$C$3:$E$853,93)</f>
        <v xml:space="preserve">Income statement  </v>
      </c>
      <c r="B57" s="67"/>
      <c r="C57" s="67"/>
      <c r="D57" s="67"/>
      <c r="E57" s="67"/>
      <c r="F57" s="67"/>
      <c r="G57" s="67"/>
      <c r="H57" s="67"/>
    </row>
    <row r="58" spans="1:8">
      <c r="A58" s="68" t="str">
        <f>HLOOKUP(INDICE!$F$2,Nombres!$C$3:$E$853,31)</f>
        <v xml:space="preserve">(Constant million euros)    </v>
      </c>
      <c r="B58" s="72"/>
      <c r="C58" s="200"/>
      <c r="D58" s="200"/>
      <c r="E58" s="200"/>
      <c r="F58" s="72"/>
      <c r="G58" s="212"/>
      <c r="H58" s="212"/>
    </row>
    <row r="59" spans="1:8">
      <c r="A59" s="201"/>
      <c r="B59" s="72"/>
      <c r="C59" s="200"/>
      <c r="D59" s="200"/>
      <c r="E59" s="200"/>
      <c r="F59" s="72"/>
      <c r="G59" s="212"/>
      <c r="H59" s="212"/>
    </row>
    <row r="60" spans="1:8" ht="15.75">
      <c r="A60" s="73"/>
      <c r="B60" s="320">
        <v>2017</v>
      </c>
      <c r="C60" s="320"/>
      <c r="D60" s="320"/>
      <c r="E60" s="320"/>
      <c r="F60" s="315">
        <v>2018</v>
      </c>
      <c r="G60" s="316"/>
      <c r="H60" s="316"/>
    </row>
    <row r="61" spans="1:8" ht="15.75">
      <c r="A61" s="73"/>
      <c r="B61" s="93" t="str">
        <f>HLOOKUP(INDICE!$F$2,Nombres!$C$3:$E$857,34)</f>
        <v>1Q</v>
      </c>
      <c r="C61" s="93" t="str">
        <f>HLOOKUP(INDICE!$F$2,Nombres!$C$3:$E$857,35)</f>
        <v>2Q</v>
      </c>
      <c r="D61" s="93" t="str">
        <f>HLOOKUP(INDICE!$F$2,Nombres!$C$3:$E$857,36)</f>
        <v>3Q</v>
      </c>
      <c r="E61" s="93" t="str">
        <f>HLOOKUP(INDICE!$F$2,Nombres!$C$3:$E$857,37)</f>
        <v>4Q</v>
      </c>
      <c r="F61" s="93" t="str">
        <f>HLOOKUP(INDICE!$F$2,Nombres!$C$3:$E$857,34)</f>
        <v>1Q</v>
      </c>
      <c r="G61" s="93" t="str">
        <f>HLOOKUP(INDICE!$F$2,Nombres!$C$3:$E$857,35)</f>
        <v>2Q</v>
      </c>
      <c r="H61" s="93" t="str">
        <f>HLOOKUP(INDICE!$F$2,Nombres!$C$3:$E$857,36)</f>
        <v>3Q</v>
      </c>
    </row>
    <row r="62" spans="1:8">
      <c r="A62" s="139" t="str">
        <f>HLOOKUP(INDICE!$F$2,Nombres!$C$3:$E$853,38)</f>
        <v>Net interest income</v>
      </c>
      <c r="B62" s="202">
        <v>580.63568053428048</v>
      </c>
      <c r="C62" s="77">
        <v>571.92160431515913</v>
      </c>
      <c r="D62" s="77">
        <v>591.32067733790677</v>
      </c>
      <c r="E62" s="203">
        <v>748.81005562917233</v>
      </c>
      <c r="F62" s="139">
        <v>641.10517787866286</v>
      </c>
      <c r="G62" s="139">
        <v>717.73634924601254</v>
      </c>
      <c r="H62" s="139">
        <v>844.83547287532508</v>
      </c>
    </row>
    <row r="63" spans="1:8">
      <c r="A63" s="125" t="str">
        <f>HLOOKUP(INDICE!$F$2,Nombres!$C$3:$E$853,39)</f>
        <v>Net fees and commissions</v>
      </c>
      <c r="B63" s="204">
        <v>122.31146631410247</v>
      </c>
      <c r="C63" s="82">
        <v>129.21407459615216</v>
      </c>
      <c r="D63" s="82">
        <v>138.79851760389661</v>
      </c>
      <c r="E63" s="205">
        <v>135.4867750170061</v>
      </c>
      <c r="F63" s="216">
        <v>171.10883527651671</v>
      </c>
      <c r="G63" s="216">
        <v>162.8771891123975</v>
      </c>
      <c r="H63" s="216">
        <v>181.20397561108564</v>
      </c>
    </row>
    <row r="64" spans="1:8">
      <c r="A64" s="125" t="str">
        <f>HLOOKUP(INDICE!$F$2,Nombres!$C$3:$E$853,40)</f>
        <v>Net trading income</v>
      </c>
      <c r="B64" s="204">
        <v>-10.865233594146844</v>
      </c>
      <c r="C64" s="82">
        <v>17.252688819938051</v>
      </c>
      <c r="D64" s="82">
        <v>9.313661898573864</v>
      </c>
      <c r="E64" s="205">
        <v>-4.891545920111966</v>
      </c>
      <c r="F64" s="216">
        <v>16.831787401981067</v>
      </c>
      <c r="G64" s="216">
        <v>-13.171402745041473</v>
      </c>
      <c r="H64" s="216">
        <v>27.710615343060425</v>
      </c>
    </row>
    <row r="65" spans="1:8" ht="17.25" customHeight="1">
      <c r="A65" s="125" t="str">
        <f>HLOOKUP(INDICE!$F$2,Nombres!$C$3:$E$853,95)</f>
        <v>Other operating income and expenses</v>
      </c>
      <c r="B65" s="204">
        <v>6.2127911982327166</v>
      </c>
      <c r="C65" s="82">
        <v>12.521836715980408</v>
      </c>
      <c r="D65" s="82">
        <v>17.640123451677439</v>
      </c>
      <c r="E65" s="205">
        <v>13.960144553990744</v>
      </c>
      <c r="F65" s="216">
        <v>19.571647750722246</v>
      </c>
      <c r="G65" s="216">
        <v>15.47786287017659</v>
      </c>
      <c r="H65" s="216">
        <v>15.505489379101173</v>
      </c>
    </row>
    <row r="66" spans="1:8" ht="15.75" customHeight="1">
      <c r="A66" s="139" t="str">
        <f>HLOOKUP(INDICE!$F$2,Nombres!$C$3:$E$853,44)</f>
        <v>Gross income</v>
      </c>
      <c r="B66" s="202">
        <v>698.29470445246875</v>
      </c>
      <c r="C66" s="77">
        <v>730.91020444722972</v>
      </c>
      <c r="D66" s="77">
        <v>757.07298029205481</v>
      </c>
      <c r="E66" s="203">
        <v>893.36542928005724</v>
      </c>
      <c r="F66" s="139">
        <v>848.6174483078828</v>
      </c>
      <c r="G66" s="139">
        <v>882.91999848354521</v>
      </c>
      <c r="H66" s="139">
        <v>1069.2555532085726</v>
      </c>
    </row>
    <row r="67" spans="1:8">
      <c r="A67" s="125" t="str">
        <f>HLOOKUP(INDICE!$F$2,Nombres!$C$3:$E$853,45)</f>
        <v>Operating expenses</v>
      </c>
      <c r="B67" s="204">
        <v>-277.88096858261702</v>
      </c>
      <c r="C67" s="82">
        <v>-271.18917959515238</v>
      </c>
      <c r="D67" s="82">
        <v>-275.86151995775106</v>
      </c>
      <c r="E67" s="205">
        <v>-300.0558257816657</v>
      </c>
      <c r="F67" s="216">
        <v>-301.8287243975609</v>
      </c>
      <c r="G67" s="216">
        <v>-307.46794641212824</v>
      </c>
      <c r="H67" s="216">
        <v>-304.40400056031081</v>
      </c>
    </row>
    <row r="68" spans="1:8">
      <c r="A68" s="125" t="str">
        <f>HLOOKUP(INDICE!$F$2,Nombres!$C$3:$E$853,46)</f>
        <v xml:space="preserve">  Administration expenses</v>
      </c>
      <c r="B68" s="204">
        <v>-244.93189742327007</v>
      </c>
      <c r="C68" s="82">
        <v>-237.78510336102198</v>
      </c>
      <c r="D68" s="82">
        <v>-242.28660211042336</v>
      </c>
      <c r="E68" s="205">
        <v>-266.6494385935884</v>
      </c>
      <c r="F68" s="216">
        <v>-267.48889550785805</v>
      </c>
      <c r="G68" s="216">
        <v>-271.40810840673663</v>
      </c>
      <c r="H68" s="216">
        <v>-269.55160245540532</v>
      </c>
    </row>
    <row r="69" spans="1:8">
      <c r="A69" s="227" t="str">
        <f>HLOOKUP(INDICE!$F$2,Nombres!$C$3:$E$853,47)</f>
        <v xml:space="preserve">  Personnel expenses</v>
      </c>
      <c r="B69" s="204">
        <v>-145.36772941417374</v>
      </c>
      <c r="C69" s="82">
        <v>-146.06259756457646</v>
      </c>
      <c r="D69" s="82">
        <v>-148.39648051173364</v>
      </c>
      <c r="E69" s="205">
        <v>-158.14163726718195</v>
      </c>
      <c r="F69" s="216">
        <v>-150.9589911086174</v>
      </c>
      <c r="G69" s="216">
        <v>-169.79151088771448</v>
      </c>
      <c r="H69" s="216">
        <v>-165.09960013366813</v>
      </c>
    </row>
    <row r="70" spans="1:8">
      <c r="A70" s="227" t="str">
        <f>HLOOKUP(INDICE!$F$2,Nombres!$C$3:$E$853,48)</f>
        <v xml:space="preserve">  General and administrative expenses</v>
      </c>
      <c r="B70" s="204">
        <v>-99.564168009096335</v>
      </c>
      <c r="C70" s="82">
        <v>-91.722505796445517</v>
      </c>
      <c r="D70" s="82">
        <v>-93.890121598689717</v>
      </c>
      <c r="E70" s="205">
        <v>-108.50780132640645</v>
      </c>
      <c r="F70" s="216">
        <v>-116.52990439924062</v>
      </c>
      <c r="G70" s="216">
        <v>-101.61659751902218</v>
      </c>
      <c r="H70" s="216">
        <v>-104.45200232173723</v>
      </c>
    </row>
    <row r="71" spans="1:8" ht="13.5" customHeight="1">
      <c r="A71" s="125" t="str">
        <f>HLOOKUP(INDICE!$F$2,Nombres!$C$3:$E$853,49)</f>
        <v xml:space="preserve">  Depreciation</v>
      </c>
      <c r="B71" s="204">
        <v>-32.949071159346964</v>
      </c>
      <c r="C71" s="82">
        <v>-33.404076234130386</v>
      </c>
      <c r="D71" s="82">
        <v>-33.574917847327647</v>
      </c>
      <c r="E71" s="205">
        <v>-33.406387188077311</v>
      </c>
      <c r="F71" s="216">
        <v>-34.339828889702851</v>
      </c>
      <c r="G71" s="216">
        <v>-36.059838005391619</v>
      </c>
      <c r="H71" s="216">
        <v>-34.852398104905532</v>
      </c>
    </row>
    <row r="72" spans="1:8" ht="14.25" customHeight="1">
      <c r="A72" s="139" t="str">
        <f>HLOOKUP(INDICE!$F$2,Nombres!$C$3:$E$853,50)</f>
        <v>Operating income</v>
      </c>
      <c r="B72" s="202">
        <v>420.41373586985179</v>
      </c>
      <c r="C72" s="77">
        <v>459.72102485207733</v>
      </c>
      <c r="D72" s="77">
        <v>481.21146033430375</v>
      </c>
      <c r="E72" s="203">
        <v>593.30960349839154</v>
      </c>
      <c r="F72" s="139">
        <v>546.78872391032189</v>
      </c>
      <c r="G72" s="139">
        <v>575.45205207141703</v>
      </c>
      <c r="H72" s="139">
        <v>764.85155264826176</v>
      </c>
    </row>
    <row r="73" spans="1:8">
      <c r="A73" s="125" t="str">
        <f>HLOOKUP(INDICE!$F$2,Nombres!$C$3:$E$853,51)</f>
        <v>Impaiment on financial assets not measured at fair value through profit or loss</v>
      </c>
      <c r="B73" s="204">
        <v>-86.324760022681744</v>
      </c>
      <c r="C73" s="82">
        <v>-84.358343650241011</v>
      </c>
      <c r="D73" s="82">
        <v>-84.904712271072754</v>
      </c>
      <c r="E73" s="205">
        <v>-83.339354963521828</v>
      </c>
      <c r="F73" s="216">
        <v>-128.19429276723071</v>
      </c>
      <c r="G73" s="216">
        <v>-155.62907146566585</v>
      </c>
      <c r="H73" s="216">
        <v>-353.85422546710339</v>
      </c>
    </row>
    <row r="74" spans="1:8" ht="16.5" customHeight="1">
      <c r="A74" s="125" t="str">
        <f>HLOOKUP(INDICE!$F$2,Nombres!$C$3:$E$853,160)</f>
        <v>Provisions or reversal of provisions and other results</v>
      </c>
      <c r="B74" s="204">
        <v>11.437313814978602</v>
      </c>
      <c r="C74" s="82">
        <v>1.4019718852400009</v>
      </c>
      <c r="D74" s="82">
        <v>-21.257166234326846</v>
      </c>
      <c r="E74" s="205">
        <v>-0.51013822207376114</v>
      </c>
      <c r="F74" s="216">
        <v>24.503737051176238</v>
      </c>
      <c r="G74" s="216">
        <v>6.4695792959878986</v>
      </c>
      <c r="H74" s="216">
        <v>-13.608316347164125</v>
      </c>
    </row>
    <row r="75" spans="1:8" ht="12.75" customHeight="1">
      <c r="A75" s="139" t="str">
        <f>HLOOKUP(INDICE!$F$2,Nombres!$C$3:$E$853,54)</f>
        <v>Profit/(loss) before tax</v>
      </c>
      <c r="B75" s="202">
        <v>345.52628966214866</v>
      </c>
      <c r="C75" s="77">
        <v>376.76465308707634</v>
      </c>
      <c r="D75" s="77">
        <v>375.04958182890414</v>
      </c>
      <c r="E75" s="203">
        <v>509.4601103127959</v>
      </c>
      <c r="F75" s="139">
        <v>443.09816819426749</v>
      </c>
      <c r="G75" s="139">
        <v>426.29255990173903</v>
      </c>
      <c r="H75" s="139">
        <v>397.38901083399418</v>
      </c>
    </row>
    <row r="76" spans="1:8" ht="13.5" customHeight="1">
      <c r="A76" s="125" t="str">
        <f>HLOOKUP(INDICE!$F$2,Nombres!$C$3:$E$853,55)</f>
        <v>Income tax</v>
      </c>
      <c r="B76" s="204">
        <v>-75.903558005047884</v>
      </c>
      <c r="C76" s="82">
        <v>-67.515250168598058</v>
      </c>
      <c r="D76" s="82">
        <v>-80.748392580476974</v>
      </c>
      <c r="E76" s="205">
        <v>-95.030014026952813</v>
      </c>
      <c r="F76" s="216">
        <v>-96.773428863199044</v>
      </c>
      <c r="G76" s="216">
        <v>-92.614267554842229</v>
      </c>
      <c r="H76" s="216">
        <v>-88.824302171958735</v>
      </c>
    </row>
    <row r="77" spans="1:8" ht="12.75" customHeight="1">
      <c r="A77" s="139" t="str">
        <f>HLOOKUP(INDICE!$F$2,Nombres!$C$3:$E$853,56)</f>
        <v>Profit/(loss) for the year</v>
      </c>
      <c r="B77" s="202">
        <v>269.62273165710076</v>
      </c>
      <c r="C77" s="77">
        <v>309.24940291847832</v>
      </c>
      <c r="D77" s="77">
        <v>294.30118924842714</v>
      </c>
      <c r="E77" s="203">
        <v>414.43009628584309</v>
      </c>
      <c r="F77" s="139">
        <v>346.32473933106837</v>
      </c>
      <c r="G77" s="139">
        <v>333.6782923468968</v>
      </c>
      <c r="H77" s="139">
        <v>308.56470866203546</v>
      </c>
    </row>
    <row r="78" spans="1:8" ht="12.75" customHeight="1">
      <c r="A78" s="125" t="str">
        <f>HLOOKUP(INDICE!$F$2,Nombres!$C$3:$E$853,57)</f>
        <v>Non-controlling interests</v>
      </c>
      <c r="B78" s="204">
        <v>-155.42489969639576</v>
      </c>
      <c r="C78" s="82">
        <v>-156.20995670709394</v>
      </c>
      <c r="D78" s="82">
        <v>-148.85250166997423</v>
      </c>
      <c r="E78" s="205">
        <v>-209.22130274294932</v>
      </c>
      <c r="F78" s="216">
        <v>-175.31784672926125</v>
      </c>
      <c r="G78" s="216">
        <v>-168.98601628939343</v>
      </c>
      <c r="H78" s="216">
        <v>-156.68513698134529</v>
      </c>
    </row>
    <row r="79" spans="1:8" ht="15" customHeight="1">
      <c r="A79" s="206" t="str">
        <f>HLOOKUP(INDICE!$F$2,Nombres!$C$3:$E$853,58)</f>
        <v>Net attributable profit</v>
      </c>
      <c r="B79" s="207">
        <v>114.197831960705</v>
      </c>
      <c r="C79" s="208">
        <v>153.03944621138436</v>
      </c>
      <c r="D79" s="208">
        <v>145.4486875784529</v>
      </c>
      <c r="E79" s="209">
        <v>205.2087935428938</v>
      </c>
      <c r="F79" s="206">
        <v>171.00689260180712</v>
      </c>
      <c r="G79" s="206">
        <v>164.69227605750336</v>
      </c>
      <c r="H79" s="206">
        <v>151.87957168069013</v>
      </c>
    </row>
    <row r="80" spans="1:8" s="86" customFormat="1" ht="15" customHeight="1">
      <c r="A80" s="215"/>
      <c r="B80" s="77"/>
      <c r="C80" s="77"/>
      <c r="D80" s="77"/>
      <c r="E80" s="77"/>
      <c r="F80" s="139"/>
      <c r="G80" s="139"/>
      <c r="H80" s="139"/>
    </row>
    <row r="81" spans="1:8" s="86" customFormat="1" ht="15" customHeight="1">
      <c r="A81" s="139"/>
      <c r="B81" s="77"/>
      <c r="C81" s="77"/>
      <c r="D81" s="77"/>
      <c r="E81" s="77"/>
      <c r="F81" s="139"/>
      <c r="G81" s="139"/>
      <c r="H81" s="139"/>
    </row>
    <row r="82" spans="1:8" ht="17.25" customHeight="1">
      <c r="A82" s="65" t="str">
        <f>HLOOKUP(INDICE!$F$2,Nombres!$C$3:$E$853,94)</f>
        <v>Balance sheets</v>
      </c>
      <c r="B82" s="67"/>
      <c r="C82" s="67"/>
      <c r="D82" s="67"/>
      <c r="E82" s="67"/>
      <c r="F82" s="67"/>
      <c r="G82" s="67"/>
      <c r="H82" s="67"/>
    </row>
    <row r="83" spans="1:8" ht="28.5" customHeight="1">
      <c r="A83" s="322" t="str">
        <f>HLOOKUP(INDICE!$F$2,Nombres!$C$3:$E$853,31)</f>
        <v xml:space="preserve">(Constant million euros)    </v>
      </c>
      <c r="B83" s="322"/>
      <c r="C83" s="322"/>
      <c r="D83" s="322"/>
      <c r="E83" s="322"/>
      <c r="F83" s="322"/>
      <c r="G83" s="322"/>
      <c r="H83" s="322"/>
    </row>
    <row r="84" spans="1:8" ht="15.75">
      <c r="A84" s="72"/>
      <c r="B84" s="59">
        <v>42825</v>
      </c>
      <c r="C84" s="59">
        <v>42916</v>
      </c>
      <c r="D84" s="59">
        <v>43008</v>
      </c>
      <c r="E84" s="59">
        <v>43100</v>
      </c>
      <c r="F84" s="59">
        <v>43190</v>
      </c>
      <c r="G84" s="59">
        <v>43281</v>
      </c>
      <c r="H84" s="59">
        <v>43373</v>
      </c>
    </row>
    <row r="85" spans="1:8">
      <c r="A85" s="125" t="str">
        <f>HLOOKUP(INDICE!$F$2,Nombres!$C$3:$E$853,100)</f>
        <v>Cash, cash balances at central banks and other demand deposits</v>
      </c>
      <c r="B85" s="204">
        <v>1190.5033344807068</v>
      </c>
      <c r="C85" s="82">
        <v>1104.3753389320332</v>
      </c>
      <c r="D85" s="82">
        <v>2139.5824913243318</v>
      </c>
      <c r="E85" s="205">
        <v>2634.7755995571797</v>
      </c>
      <c r="F85" s="204">
        <v>2068.8070255948123</v>
      </c>
      <c r="G85" s="82">
        <v>3196.7107614550587</v>
      </c>
      <c r="H85" s="82">
        <v>7628.3759999999993</v>
      </c>
    </row>
    <row r="86" spans="1:8">
      <c r="A86" s="125" t="str">
        <f>HLOOKUP(INDICE!$F$2,Nombres!$C$3:$E$853,101)</f>
        <v xml:space="preserve">Financial assets designated at fair value </v>
      </c>
      <c r="B86" s="204">
        <v>3900.4131227417161</v>
      </c>
      <c r="C86" s="82">
        <v>3768.2091826701185</v>
      </c>
      <c r="D86" s="82">
        <v>3871.5630723210456</v>
      </c>
      <c r="E86" s="205">
        <v>4190.1355316338859</v>
      </c>
      <c r="F86" s="204">
        <v>4214.4109462391398</v>
      </c>
      <c r="G86" s="82">
        <v>4511.5373449836916</v>
      </c>
      <c r="H86" s="82">
        <v>5545.4269999999988</v>
      </c>
    </row>
    <row r="87" spans="1:8">
      <c r="A87" s="125" t="str">
        <f>HLOOKUP(INDICE!$F$2,Nombres!$C$3:$E$853,406)</f>
        <v>Financial assets at amortized cost</v>
      </c>
      <c r="B87" s="204">
        <v>40419.391094930295</v>
      </c>
      <c r="C87" s="82">
        <v>41571.582456203723</v>
      </c>
      <c r="D87" s="82">
        <v>40949.192462572515</v>
      </c>
      <c r="E87" s="205">
        <v>42483.077085215249</v>
      </c>
      <c r="F87" s="204">
        <v>43892.285020568168</v>
      </c>
      <c r="G87" s="82">
        <v>45868.641117966872</v>
      </c>
      <c r="H87" s="82">
        <v>50343.63620021</v>
      </c>
    </row>
    <row r="88" spans="1:8">
      <c r="A88" s="125" t="str">
        <f>HLOOKUP(INDICE!$F$2,Nombres!$C$3:$E$853,103)</f>
        <v xml:space="preserve">    of which loans and advances to customers</v>
      </c>
      <c r="B88" s="204">
        <v>31042.865116940426</v>
      </c>
      <c r="C88" s="82">
        <v>31834.995125820235</v>
      </c>
      <c r="D88" s="82">
        <v>32091.912688223918</v>
      </c>
      <c r="E88" s="205">
        <v>33537.05770127588</v>
      </c>
      <c r="F88" s="204">
        <v>34983.778393514862</v>
      </c>
      <c r="G88" s="82">
        <v>37196.563648516363</v>
      </c>
      <c r="H88" s="82">
        <v>40832.880200209998</v>
      </c>
    </row>
    <row r="89" spans="1:8">
      <c r="A89" s="125" t="str">
        <f>HLOOKUP(INDICE!$F$2,Nombres!$C$3:$E$853,106)</f>
        <v>Tangible assets</v>
      </c>
      <c r="B89" s="204">
        <v>762.66872027039119</v>
      </c>
      <c r="C89" s="82">
        <v>797.95811731182152</v>
      </c>
      <c r="D89" s="82">
        <v>817.2589249103022</v>
      </c>
      <c r="E89" s="205">
        <v>877.15582064886291</v>
      </c>
      <c r="F89" s="204">
        <v>880.13256837037534</v>
      </c>
      <c r="G89" s="82">
        <v>899.59967235037561</v>
      </c>
      <c r="H89" s="82">
        <v>924.19099999999992</v>
      </c>
    </row>
    <row r="90" spans="1:8">
      <c r="A90" s="125" t="str">
        <f>HLOOKUP(INDICE!$F$2,Nombres!$C$3:$E$853,107)</f>
        <v>Other assets</v>
      </c>
      <c r="B90" s="204">
        <v>1212.1700594883862</v>
      </c>
      <c r="C90" s="82">
        <v>1100.1418168683433</v>
      </c>
      <c r="D90" s="82">
        <v>1087.4396871927788</v>
      </c>
      <c r="E90" s="205">
        <v>1182.5804649898721</v>
      </c>
      <c r="F90" s="204">
        <v>1252.6497198577742</v>
      </c>
      <c r="G90" s="82">
        <v>1336.7270232864794</v>
      </c>
      <c r="H90" s="82">
        <v>1593.2150000000001</v>
      </c>
    </row>
    <row r="91" spans="1:8">
      <c r="A91" s="206" t="str">
        <f>HLOOKUP(INDICE!$F$2,Nombres!$C$3:$E$853,108)</f>
        <v>Total assets / Liabilities and equity</v>
      </c>
      <c r="B91" s="207">
        <v>47485.146331911499</v>
      </c>
      <c r="C91" s="207">
        <v>48342.266911986037</v>
      </c>
      <c r="D91" s="207">
        <v>48865.036638320977</v>
      </c>
      <c r="E91" s="207">
        <v>51367.72450204505</v>
      </c>
      <c r="F91" s="207">
        <v>52308.285280630269</v>
      </c>
      <c r="G91" s="208">
        <v>55813.215920042487</v>
      </c>
      <c r="H91" s="208">
        <v>66034.845200209995</v>
      </c>
    </row>
    <row r="92" spans="1:8">
      <c r="A92" s="125" t="str">
        <f>HLOOKUP(INDICE!$F$2,Nombres!$C$3:$E$853,111)</f>
        <v>Financial liabilities held for trading and designated at fair value through profit or loss</v>
      </c>
      <c r="B92" s="204">
        <v>399.00279258991333</v>
      </c>
      <c r="C92" s="82">
        <v>354.63972889450764</v>
      </c>
      <c r="D92" s="82">
        <v>333.81299092100727</v>
      </c>
      <c r="E92" s="205">
        <v>422.73468577520748</v>
      </c>
      <c r="F92" s="204">
        <v>1126.7109687680597</v>
      </c>
      <c r="G92" s="82">
        <v>1553.9968919330126</v>
      </c>
      <c r="H92" s="82">
        <v>2561.8630000000003</v>
      </c>
    </row>
    <row r="93" spans="1:8">
      <c r="A93" s="125" t="str">
        <f>HLOOKUP(INDICE!$F$2,Nombres!$C$3:$E$853,109)</f>
        <v>Deposits from central banks and credit institutions</v>
      </c>
      <c r="B93" s="204">
        <v>8019.2776498488984</v>
      </c>
      <c r="C93" s="82">
        <v>7611.6681107900395</v>
      </c>
      <c r="D93" s="82">
        <v>7593.738100994864</v>
      </c>
      <c r="E93" s="205">
        <v>7307.7712833137812</v>
      </c>
      <c r="F93" s="204">
        <v>6343.4390008668752</v>
      </c>
      <c r="G93" s="82">
        <v>7286.2509371713486</v>
      </c>
      <c r="H93" s="82">
        <v>8538.9650000000001</v>
      </c>
    </row>
    <row r="94" spans="1:8">
      <c r="A94" s="125" t="str">
        <f>HLOOKUP(INDICE!$F$2,Nombres!$C$3:$E$853,110)</f>
        <v>Deposits from customers</v>
      </c>
      <c r="B94" s="204">
        <v>25999.100306222655</v>
      </c>
      <c r="C94" s="82">
        <v>26955.607079048972</v>
      </c>
      <c r="D94" s="82">
        <v>27536.01845965441</v>
      </c>
      <c r="E94" s="205">
        <v>29172.233137700179</v>
      </c>
      <c r="F94" s="204">
        <v>30409.47428482923</v>
      </c>
      <c r="G94" s="82">
        <v>32428.555161248991</v>
      </c>
      <c r="H94" s="82">
        <v>38841.330000000009</v>
      </c>
    </row>
    <row r="95" spans="1:8">
      <c r="A95" s="125" t="str">
        <f>HLOOKUP(INDICE!$F$2,Nombres!$C$3:$E$853,112)</f>
        <v>Debt certificates</v>
      </c>
      <c r="B95" s="204">
        <v>4725.8500103069136</v>
      </c>
      <c r="C95" s="82">
        <v>4983.6005273613882</v>
      </c>
      <c r="D95" s="82">
        <v>4875.2037270714472</v>
      </c>
      <c r="E95" s="205">
        <v>5447.5972802267752</v>
      </c>
      <c r="F95" s="204">
        <v>4880.8390934313493</v>
      </c>
      <c r="G95" s="82">
        <v>5052.1914693650942</v>
      </c>
      <c r="H95" s="82">
        <v>5737.7550000000001</v>
      </c>
    </row>
    <row r="96" spans="1:8">
      <c r="A96" s="125" t="str">
        <f>HLOOKUP(INDICE!$F$2,Nombres!$C$3:$E$853,115)</f>
        <v>Other liabilities</v>
      </c>
      <c r="B96" s="204">
        <v>7122.8701871638259</v>
      </c>
      <c r="C96" s="82">
        <v>6854.814375341688</v>
      </c>
      <c r="D96" s="82">
        <v>6928.9622982635437</v>
      </c>
      <c r="E96" s="205">
        <v>7389.9080675500909</v>
      </c>
      <c r="F96" s="204">
        <v>7736.2481234531124</v>
      </c>
      <c r="G96" s="82">
        <v>7711.4969258908031</v>
      </c>
      <c r="H96" s="82">
        <v>8295.8794076799895</v>
      </c>
    </row>
    <row r="97" spans="1:8" ht="12" customHeight="1">
      <c r="A97" s="125" t="str">
        <f>HLOOKUP(INDICE!$F$2,Nombres!$C$3:$E$853,116)</f>
        <v>Economic capital allocated</v>
      </c>
      <c r="B97" s="204">
        <v>1219.0445427756324</v>
      </c>
      <c r="C97" s="82">
        <v>1581.9376253406379</v>
      </c>
      <c r="D97" s="82">
        <v>1597.3009228882843</v>
      </c>
      <c r="E97" s="205">
        <v>1627.4793500298699</v>
      </c>
      <c r="F97" s="204">
        <v>1811.5738092816709</v>
      </c>
      <c r="G97" s="82">
        <v>1780.7245344332396</v>
      </c>
      <c r="H97" s="82">
        <v>2059.0527925300003</v>
      </c>
    </row>
    <row r="98" spans="1:8" ht="12" customHeight="1">
      <c r="A98" s="215"/>
      <c r="B98" s="69"/>
      <c r="C98" s="82"/>
      <c r="D98" s="82"/>
      <c r="E98" s="82"/>
      <c r="F98" s="82"/>
      <c r="G98" s="82"/>
      <c r="H98" s="82"/>
    </row>
    <row r="99" spans="1:8" ht="12" customHeight="1">
      <c r="A99" s="125"/>
      <c r="B99" s="69"/>
      <c r="C99" s="82"/>
      <c r="D99" s="82"/>
      <c r="E99" s="82"/>
      <c r="F99" s="82"/>
      <c r="G99" s="82"/>
      <c r="H99" s="82"/>
    </row>
    <row r="100" spans="1:8" ht="18">
      <c r="A100" s="65" t="str">
        <f>HLOOKUP(INDICE!$F$2,Nombres!$C$3:$E$853,117)</f>
        <v>Relevant business indicators</v>
      </c>
      <c r="B100" s="67"/>
      <c r="C100" s="67"/>
      <c r="D100" s="67"/>
      <c r="E100" s="67"/>
      <c r="F100" s="67"/>
      <c r="G100" s="67"/>
      <c r="H100" s="67"/>
    </row>
    <row r="101" spans="1:8" ht="12" customHeight="1">
      <c r="A101" s="68" t="str">
        <f>HLOOKUP(INDICE!$F$2,Nombres!$C$3:$E$853,31)</f>
        <v xml:space="preserve">(Constant million euros)    </v>
      </c>
      <c r="B101" s="72"/>
      <c r="C101" s="72"/>
      <c r="D101" s="72"/>
      <c r="E101" s="72"/>
      <c r="F101" s="72"/>
      <c r="G101" s="72"/>
      <c r="H101" s="72"/>
    </row>
    <row r="102" spans="1:8" ht="15.75">
      <c r="A102" s="72"/>
      <c r="B102" s="59">
        <v>42825</v>
      </c>
      <c r="C102" s="59">
        <v>42916</v>
      </c>
      <c r="D102" s="59">
        <v>43008</v>
      </c>
      <c r="E102" s="59">
        <v>43100</v>
      </c>
      <c r="F102" s="59">
        <v>43190</v>
      </c>
      <c r="G102" s="59">
        <v>43281</v>
      </c>
      <c r="H102" s="59">
        <v>43373</v>
      </c>
    </row>
    <row r="103" spans="1:8" ht="15" customHeight="1">
      <c r="A103" s="307" t="str">
        <f>HLOOKUP(INDICE!$F$2,Nombres!$C$3:$E$853,118)</f>
        <v>Loans and advances to customers (gross) (*)</v>
      </c>
      <c r="B103" s="204">
        <v>32347.282933405681</v>
      </c>
      <c r="C103" s="82">
        <v>33148.747431822288</v>
      </c>
      <c r="D103" s="82">
        <v>33469.221000264683</v>
      </c>
      <c r="E103" s="205">
        <v>34886.387501818564</v>
      </c>
      <c r="F103" s="204">
        <v>36376.609339034178</v>
      </c>
      <c r="G103" s="69">
        <v>38782.114710600639</v>
      </c>
      <c r="H103" s="69">
        <f>+H49</f>
        <v>42889.364999989994</v>
      </c>
    </row>
    <row r="104" spans="1:8">
      <c r="A104" s="125" t="str">
        <f>HLOOKUP(INDICE!$F$2,Nombres!$C$3:$E$853,315)</f>
        <v>Customer deposits under management (*)</v>
      </c>
      <c r="B104" s="204">
        <v>25989.973721835417</v>
      </c>
      <c r="C104" s="82">
        <v>26947.27627362603</v>
      </c>
      <c r="D104" s="82">
        <v>27527.334353752231</v>
      </c>
      <c r="E104" s="205">
        <v>29073.126473850185</v>
      </c>
      <c r="F104" s="204">
        <v>30337.243083499026</v>
      </c>
      <c r="G104" s="69">
        <v>32421.24377305559</v>
      </c>
      <c r="H104" s="69">
        <f t="shared" ref="H104:H106" si="0">+H50</f>
        <v>38836.124000000003</v>
      </c>
    </row>
    <row r="105" spans="1:8">
      <c r="A105" s="125" t="str">
        <f>HLOOKUP(INDICE!$F$2,Nombres!$C$3:$E$853,122)</f>
        <v>Mutual funds</v>
      </c>
      <c r="B105" s="204">
        <v>656.33256624622243</v>
      </c>
      <c r="C105" s="82">
        <v>711.15967862661296</v>
      </c>
      <c r="D105" s="82">
        <v>729.67782505398657</v>
      </c>
      <c r="E105" s="205">
        <v>825.67407139674651</v>
      </c>
      <c r="F105" s="204">
        <v>935.97213466417202</v>
      </c>
      <c r="G105" s="82">
        <v>845.80091595086469</v>
      </c>
      <c r="H105" s="69">
        <f t="shared" si="0"/>
        <v>646.62099999999998</v>
      </c>
    </row>
    <row r="106" spans="1:8">
      <c r="A106" s="125" t="str">
        <f>HLOOKUP(INDICE!$F$2,Nombres!$C$3:$E$853,206)</f>
        <v>Pension funds</v>
      </c>
      <c r="B106" s="204">
        <v>1445.7680682123148</v>
      </c>
      <c r="C106" s="82">
        <v>1543.614057251219</v>
      </c>
      <c r="D106" s="82">
        <v>1631.3293317424441</v>
      </c>
      <c r="E106" s="205">
        <v>1721.3458019631378</v>
      </c>
      <c r="F106" s="204">
        <v>1778.8316817838988</v>
      </c>
      <c r="G106" s="82">
        <v>1790.6048803111271</v>
      </c>
      <c r="H106" s="69">
        <f t="shared" si="0"/>
        <v>1936.7750000000001</v>
      </c>
    </row>
    <row r="107" spans="1:8">
      <c r="A107" s="125" t="str">
        <f>HLOOKUP(INDICE!$F$2,Nombres!$C$3:$E$853,308)</f>
        <v>Other off balance-sheet funds</v>
      </c>
      <c r="B107" s="228">
        <v>0</v>
      </c>
      <c r="C107" s="82">
        <v>0</v>
      </c>
      <c r="D107" s="82">
        <v>0</v>
      </c>
      <c r="E107" s="205">
        <v>0</v>
      </c>
      <c r="F107" s="228">
        <v>0</v>
      </c>
      <c r="G107" s="82" t="s">
        <v>744</v>
      </c>
      <c r="H107" s="82" t="str">
        <f>+H53</f>
        <v>0</v>
      </c>
    </row>
    <row r="108" spans="1:8">
      <c r="A108" s="215" t="str">
        <f>HLOOKUP(INDICE!$F$2,Nombres!$C$3:$E$853,312)</f>
        <v xml:space="preserve">(*) Excluding repos. </v>
      </c>
      <c r="B108" s="204"/>
      <c r="C108" s="82"/>
      <c r="D108" s="82"/>
      <c r="E108" s="205"/>
      <c r="F108" s="204"/>
      <c r="G108" s="72"/>
      <c r="H108" s="72"/>
    </row>
    <row r="109" spans="1:8">
      <c r="A109" s="215" t="str">
        <f>HLOOKUP(INDICE!$F$2,Nombres!$C$3:$E$853,313)</f>
        <v xml:space="preserve"> </v>
      </c>
      <c r="B109" s="212"/>
      <c r="C109" s="216"/>
      <c r="D109" s="216"/>
      <c r="E109" s="216"/>
      <c r="F109" s="216"/>
      <c r="G109" s="72"/>
      <c r="H109" s="72"/>
    </row>
    <row r="110" spans="1:8">
      <c r="A110" s="215"/>
      <c r="B110" s="212"/>
      <c r="C110" s="216"/>
      <c r="D110" s="216"/>
      <c r="E110" s="216"/>
      <c r="F110" s="216"/>
      <c r="G110" s="72"/>
      <c r="H110" s="72"/>
    </row>
    <row r="111" spans="1:8" s="229" customFormat="1" ht="18">
      <c r="A111" s="65" t="str">
        <f>HLOOKUP(INDICE!$F$2,Nombres!$C$3:$E$853,93)</f>
        <v xml:space="preserve">Income statement  </v>
      </c>
      <c r="B111" s="67"/>
      <c r="C111" s="67"/>
      <c r="D111" s="67"/>
      <c r="E111" s="67"/>
      <c r="F111" s="67"/>
      <c r="G111" s="67"/>
      <c r="H111" s="67"/>
    </row>
    <row r="112" spans="1:8" ht="15.75" customHeight="1">
      <c r="A112" s="68" t="str">
        <f>HLOOKUP(INDICE!$F$2,Nombres!$C$3:$E$853,335)</f>
        <v>(Million Turkish liras)</v>
      </c>
      <c r="B112" s="72"/>
      <c r="C112" s="200"/>
      <c r="D112" s="200"/>
      <c r="E112" s="200"/>
      <c r="F112" s="72"/>
      <c r="G112" s="212"/>
      <c r="H112" s="212"/>
    </row>
    <row r="113" spans="1:8" ht="15.75" customHeight="1">
      <c r="A113" s="201"/>
      <c r="B113" s="72"/>
      <c r="C113" s="200"/>
      <c r="D113" s="200"/>
      <c r="E113" s="200"/>
      <c r="F113" s="72"/>
      <c r="G113" s="212"/>
      <c r="H113" s="212"/>
    </row>
    <row r="114" spans="1:8" ht="15.75">
      <c r="A114" s="73"/>
      <c r="B114" s="320">
        <v>2017</v>
      </c>
      <c r="C114" s="320"/>
      <c r="D114" s="320"/>
      <c r="E114" s="320"/>
      <c r="F114" s="315">
        <v>2018</v>
      </c>
      <c r="G114" s="316"/>
      <c r="H114" s="316"/>
    </row>
    <row r="115" spans="1:8" ht="15.75">
      <c r="A115" s="73"/>
      <c r="B115" s="93" t="str">
        <f>HLOOKUP(INDICE!$F$2,Nombres!$C$3:$E$857,34)</f>
        <v>1Q</v>
      </c>
      <c r="C115" s="93" t="str">
        <f>HLOOKUP(INDICE!$F$2,Nombres!$C$3:$E$857,35)</f>
        <v>2Q</v>
      </c>
      <c r="D115" s="93" t="str">
        <f>HLOOKUP(INDICE!$F$2,Nombres!$C$3:$E$857,36)</f>
        <v>3Q</v>
      </c>
      <c r="E115" s="93" t="str">
        <f>HLOOKUP(INDICE!$F$2,Nombres!$C$3:$E$857,37)</f>
        <v>4Q</v>
      </c>
      <c r="F115" s="93" t="str">
        <f>HLOOKUP(INDICE!$F$2,Nombres!$C$3:$E$857,34)</f>
        <v>1Q</v>
      </c>
      <c r="G115" s="93" t="str">
        <f>HLOOKUP(INDICE!$F$2,Nombres!$C$3:$E$857,35)</f>
        <v>2Q</v>
      </c>
      <c r="H115" s="93" t="str">
        <f>HLOOKUP(INDICE!$F$2,Nombres!$C$3:$E$857,36)</f>
        <v>3Q</v>
      </c>
    </row>
    <row r="116" spans="1:8">
      <c r="A116" s="139" t="str">
        <f>HLOOKUP(INDICE!$F$2,Nombres!$C$3:$E$853,38)</f>
        <v>Net interest income</v>
      </c>
      <c r="B116" s="202">
        <v>3197.3506491460894</v>
      </c>
      <c r="C116" s="77">
        <v>3149.365383703429</v>
      </c>
      <c r="D116" s="77">
        <v>3256.1890612718503</v>
      </c>
      <c r="E116" s="203">
        <v>4123.4260961193168</v>
      </c>
      <c r="F116" s="139">
        <v>3530.3342963268674</v>
      </c>
      <c r="G116" s="139">
        <v>3952.3144359055536</v>
      </c>
      <c r="H116" s="139">
        <v>4652.2033319309303</v>
      </c>
    </row>
    <row r="117" spans="1:8">
      <c r="A117" s="125" t="str">
        <f>HLOOKUP(INDICE!$F$2,Nombres!$C$3:$E$853,39)</f>
        <v>Net fees and commissions</v>
      </c>
      <c r="B117" s="204">
        <v>673.52499911399536</v>
      </c>
      <c r="C117" s="82">
        <v>711.5351659213552</v>
      </c>
      <c r="D117" s="82">
        <v>764.31322641587565</v>
      </c>
      <c r="E117" s="205">
        <v>746.07665800475797</v>
      </c>
      <c r="F117" s="216">
        <v>942.23445765955069</v>
      </c>
      <c r="G117" s="216">
        <v>896.9057600118806</v>
      </c>
      <c r="H117" s="216">
        <v>997.82474358936815</v>
      </c>
    </row>
    <row r="118" spans="1:8">
      <c r="A118" s="125" t="str">
        <f>HLOOKUP(INDICE!$F$2,Nombres!$C$3:$E$853,40)</f>
        <v>Net trading income</v>
      </c>
      <c r="B118" s="204">
        <v>-59.830910930934863</v>
      </c>
      <c r="C118" s="82">
        <v>95.004316212853951</v>
      </c>
      <c r="D118" s="82">
        <v>51.286966880730901</v>
      </c>
      <c r="E118" s="205">
        <v>-26.935973877123956</v>
      </c>
      <c r="F118" s="216">
        <v>92.686564364236631</v>
      </c>
      <c r="G118" s="216">
        <v>-72.530150193786852</v>
      </c>
      <c r="H118" s="216">
        <v>152.59233444600716</v>
      </c>
    </row>
    <row r="119" spans="1:8">
      <c r="A119" s="125" t="str">
        <f>HLOOKUP(INDICE!$F$2,Nombres!$C$3:$E$853,95)</f>
        <v>Other operating income and expenses</v>
      </c>
      <c r="B119" s="204">
        <v>34.211593666444827</v>
      </c>
      <c r="C119" s="82">
        <v>68.953225050690833</v>
      </c>
      <c r="D119" s="82">
        <v>97.137778576299652</v>
      </c>
      <c r="E119" s="205">
        <v>76.873466010224433</v>
      </c>
      <c r="F119" s="216">
        <v>107.77398416688553</v>
      </c>
      <c r="G119" s="216">
        <v>85.230991746521681</v>
      </c>
      <c r="H119" s="216">
        <v>85.383120937346391</v>
      </c>
    </row>
    <row r="120" spans="1:8">
      <c r="A120" s="139" t="str">
        <f>HLOOKUP(INDICE!$F$2,Nombres!$C$3:$E$853,44)</f>
        <v>Gross income</v>
      </c>
      <c r="B120" s="202">
        <v>3845.2563309955945</v>
      </c>
      <c r="C120" s="77">
        <v>4024.8580908883296</v>
      </c>
      <c r="D120" s="77">
        <v>4168.927033144756</v>
      </c>
      <c r="E120" s="203">
        <v>4919.4402462571743</v>
      </c>
      <c r="F120" s="139">
        <v>4673.0293025175406</v>
      </c>
      <c r="G120" s="139">
        <v>4861.9210374701679</v>
      </c>
      <c r="H120" s="139">
        <v>5888.0035309036521</v>
      </c>
    </row>
    <row r="121" spans="1:8">
      <c r="A121" s="125" t="str">
        <f>HLOOKUP(INDICE!$F$2,Nombres!$C$3:$E$853,45)</f>
        <v>Operating expenses</v>
      </c>
      <c r="B121" s="204">
        <v>-1530.1899712146928</v>
      </c>
      <c r="C121" s="82">
        <v>-1493.3407099992423</v>
      </c>
      <c r="D121" s="82">
        <v>-1519.069598168222</v>
      </c>
      <c r="E121" s="205">
        <v>-1652.2988881087763</v>
      </c>
      <c r="F121" s="216">
        <v>-1662.0615994447157</v>
      </c>
      <c r="G121" s="216">
        <v>-1693.114755103983</v>
      </c>
      <c r="H121" s="216">
        <v>-1676.2427136730425</v>
      </c>
    </row>
    <row r="122" spans="1:8">
      <c r="A122" s="125" t="str">
        <f>HLOOKUP(INDICE!$F$2,Nombres!$C$3:$E$853,46)</f>
        <v xml:space="preserve">  Administration expenses</v>
      </c>
      <c r="B122" s="204">
        <v>-1348.7513555871456</v>
      </c>
      <c r="C122" s="82">
        <v>-1309.3965460218506</v>
      </c>
      <c r="D122" s="82">
        <v>-1334.1846712284939</v>
      </c>
      <c r="E122" s="205">
        <v>-1468.3419985439807</v>
      </c>
      <c r="F122" s="216">
        <v>-1472.964584099351</v>
      </c>
      <c r="G122" s="216">
        <v>-1494.5462717676673</v>
      </c>
      <c r="H122" s="216">
        <v>-1484.3231650802336</v>
      </c>
    </row>
    <row r="123" spans="1:8">
      <c r="A123" s="227" t="str">
        <f>HLOOKUP(INDICE!$F$2,Nombres!$C$3:$E$853,47)</f>
        <v xml:space="preserve">  Personnel expenses</v>
      </c>
      <c r="B123" s="204">
        <v>-800.48749945855275</v>
      </c>
      <c r="C123" s="82">
        <v>-804.31388699594413</v>
      </c>
      <c r="D123" s="82">
        <v>-817.16573610941464</v>
      </c>
      <c r="E123" s="205">
        <v>-870.82878907472991</v>
      </c>
      <c r="F123" s="216">
        <v>-831.27655498442959</v>
      </c>
      <c r="G123" s="216">
        <v>-934.98042878933484</v>
      </c>
      <c r="H123" s="216">
        <v>-909.14377355419424</v>
      </c>
    </row>
    <row r="124" spans="1:8">
      <c r="A124" s="227" t="str">
        <f>HLOOKUP(INDICE!$F$2,Nombres!$C$3:$E$853,48)</f>
        <v xml:space="preserve">  General and administrative expenses</v>
      </c>
      <c r="B124" s="204">
        <v>-548.26385612859281</v>
      </c>
      <c r="C124" s="82">
        <v>-505.0826590259062</v>
      </c>
      <c r="D124" s="82">
        <v>-517.01893511907929</v>
      </c>
      <c r="E124" s="205">
        <v>-597.51320946925057</v>
      </c>
      <c r="F124" s="216">
        <v>-641.68802911492139</v>
      </c>
      <c r="G124" s="216">
        <v>-559.56584297833228</v>
      </c>
      <c r="H124" s="216">
        <v>-575.17939152603935</v>
      </c>
    </row>
    <row r="125" spans="1:8">
      <c r="A125" s="125" t="str">
        <f>HLOOKUP(INDICE!$F$2,Nombres!$C$3:$E$853,49)</f>
        <v xml:space="preserve">  Depreciation</v>
      </c>
      <c r="B125" s="204">
        <v>-181.43861562754728</v>
      </c>
      <c r="C125" s="82">
        <v>-183.94416397739192</v>
      </c>
      <c r="D125" s="82">
        <v>-184.8849269397279</v>
      </c>
      <c r="E125" s="205">
        <v>-183.95688956479552</v>
      </c>
      <c r="F125" s="216">
        <v>-189.0970153453645</v>
      </c>
      <c r="G125" s="216">
        <v>-198.56848333631581</v>
      </c>
      <c r="H125" s="216">
        <v>-191.91954859280906</v>
      </c>
    </row>
    <row r="126" spans="1:8">
      <c r="A126" s="139" t="str">
        <f>HLOOKUP(INDICE!$F$2,Nombres!$C$3:$E$853,50)</f>
        <v>Operating income</v>
      </c>
      <c r="B126" s="202">
        <v>2315.0663597809016</v>
      </c>
      <c r="C126" s="77">
        <v>2531.5173808890872</v>
      </c>
      <c r="D126" s="77">
        <v>2649.8574349765345</v>
      </c>
      <c r="E126" s="203">
        <v>3267.1413581483989</v>
      </c>
      <c r="F126" s="139">
        <v>3010.9677030728258</v>
      </c>
      <c r="G126" s="139">
        <v>3168.8062823661853</v>
      </c>
      <c r="H126" s="139">
        <v>4211.7608172306082</v>
      </c>
    </row>
    <row r="127" spans="1:8">
      <c r="A127" s="125" t="str">
        <f>HLOOKUP(INDICE!$F$2,Nombres!$C$3:$E$853,51)</f>
        <v>Impaiment on financial assets not measured at fair value through profit or loss</v>
      </c>
      <c r="B127" s="204">
        <v>-475.3592256712962</v>
      </c>
      <c r="C127" s="82">
        <v>-464.53088205464257</v>
      </c>
      <c r="D127" s="82">
        <v>-467.5395364020327</v>
      </c>
      <c r="E127" s="205">
        <v>-458.91967997357807</v>
      </c>
      <c r="F127" s="216">
        <v>-705.91959629310008</v>
      </c>
      <c r="G127" s="216">
        <v>-856.99299812039635</v>
      </c>
      <c r="H127" s="216">
        <v>-1948.5472137352263</v>
      </c>
    </row>
    <row r="128" spans="1:8">
      <c r="A128" s="125" t="str">
        <f>HLOOKUP(INDICE!$F$2,Nombres!$C$3:$E$853,160)</f>
        <v>Provisions or reversal of provisions and other results</v>
      </c>
      <c r="B128" s="204">
        <v>62.981149758416066</v>
      </c>
      <c r="C128" s="82">
        <v>7.7201520120705709</v>
      </c>
      <c r="D128" s="82">
        <v>-117.05552472385222</v>
      </c>
      <c r="E128" s="205">
        <v>-2.8091466476894738</v>
      </c>
      <c r="F128" s="216">
        <v>134.9332157730837</v>
      </c>
      <c r="G128" s="216">
        <v>35.625632828307971</v>
      </c>
      <c r="H128" s="216">
        <v>-74.936075348234965</v>
      </c>
    </row>
    <row r="129" spans="1:8">
      <c r="A129" s="139" t="str">
        <f>HLOOKUP(INDICE!$F$2,Nombres!$C$3:$E$853,54)</f>
        <v>Profit/(loss) before tax</v>
      </c>
      <c r="B129" s="202">
        <v>1902.6882838680212</v>
      </c>
      <c r="C129" s="77">
        <v>2074.706650846515</v>
      </c>
      <c r="D129" s="77">
        <v>2065.2623738506491</v>
      </c>
      <c r="E129" s="203">
        <v>2805.4125315271313</v>
      </c>
      <c r="F129" s="139">
        <v>2439.9813225528087</v>
      </c>
      <c r="G129" s="139">
        <v>2347.4389170740969</v>
      </c>
      <c r="H129" s="139">
        <v>2188.2775281471481</v>
      </c>
    </row>
    <row r="130" spans="1:8">
      <c r="A130" s="125" t="str">
        <f>HLOOKUP(INDICE!$F$2,Nombres!$C$3:$E$853,55)</f>
        <v>Income tax</v>
      </c>
      <c r="B130" s="204">
        <v>-417.97343600486721</v>
      </c>
      <c r="C130" s="82">
        <v>-371.7820591996545</v>
      </c>
      <c r="D130" s="82">
        <v>-444.65218740453952</v>
      </c>
      <c r="E130" s="205">
        <v>-523.2959103681892</v>
      </c>
      <c r="F130" s="216">
        <v>-532.89626519528758</v>
      </c>
      <c r="G130" s="216">
        <v>-509.99326843673276</v>
      </c>
      <c r="H130" s="216">
        <v>-489.12330008402427</v>
      </c>
    </row>
    <row r="131" spans="1:8">
      <c r="A131" s="139" t="str">
        <f>HLOOKUP(INDICE!$F$2,Nombres!$C$3:$E$853,56)</f>
        <v>Profit/(loss) for the year</v>
      </c>
      <c r="B131" s="202">
        <v>1484.7148478631541</v>
      </c>
      <c r="C131" s="77">
        <v>1702.9245916468606</v>
      </c>
      <c r="D131" s="77">
        <v>1620.6101864461093</v>
      </c>
      <c r="E131" s="203">
        <v>2282.1166211589425</v>
      </c>
      <c r="F131" s="139">
        <v>1907.0850573575212</v>
      </c>
      <c r="G131" s="139">
        <v>1837.4456486373642</v>
      </c>
      <c r="H131" s="139">
        <v>1699.1542280631236</v>
      </c>
    </row>
    <row r="132" spans="1:8">
      <c r="A132" s="125" t="str">
        <f>HLOOKUP(INDICE!$F$2,Nombres!$C$3:$E$853,57)</f>
        <v>Non-controlling interests</v>
      </c>
      <c r="B132" s="204">
        <v>-855.86869804567073</v>
      </c>
      <c r="C132" s="82">
        <v>-860.19172301110677</v>
      </c>
      <c r="D132" s="82">
        <v>-819.6768796632922</v>
      </c>
      <c r="E132" s="205">
        <v>-1152.1060289040652</v>
      </c>
      <c r="F132" s="216">
        <v>-965.41196113007925</v>
      </c>
      <c r="G132" s="216">
        <v>-930.54486142210794</v>
      </c>
      <c r="H132" s="216">
        <v>-862.80836888609133</v>
      </c>
    </row>
    <row r="133" spans="1:8">
      <c r="A133" s="206" t="str">
        <f>HLOOKUP(INDICE!$F$2,Nombres!$C$3:$E$853,58)</f>
        <v>Net attributable profit</v>
      </c>
      <c r="B133" s="207">
        <v>628.84614981748359</v>
      </c>
      <c r="C133" s="208">
        <v>842.7328686357539</v>
      </c>
      <c r="D133" s="208">
        <v>800.93330678281745</v>
      </c>
      <c r="E133" s="209">
        <v>1130.0105922548773</v>
      </c>
      <c r="F133" s="206">
        <v>941.67309622744187</v>
      </c>
      <c r="G133" s="206">
        <v>906.90078721525595</v>
      </c>
      <c r="H133" s="206">
        <v>836.34585917703203</v>
      </c>
    </row>
    <row r="134" spans="1:8">
      <c r="A134" s="215"/>
      <c r="B134" s="77"/>
      <c r="C134" s="77"/>
      <c r="D134" s="77"/>
      <c r="E134" s="77"/>
      <c r="F134" s="139"/>
      <c r="G134" s="139"/>
      <c r="H134" s="139"/>
    </row>
    <row r="135" spans="1:8">
      <c r="A135" s="139"/>
      <c r="B135" s="77"/>
      <c r="C135" s="77"/>
      <c r="D135" s="77"/>
      <c r="E135" s="77"/>
      <c r="F135" s="139"/>
      <c r="G135" s="139"/>
      <c r="H135" s="139"/>
    </row>
    <row r="136" spans="1:8" ht="18">
      <c r="A136" s="65" t="str">
        <f>HLOOKUP(INDICE!$F$2,Nombres!$C$3:$E$853,94)</f>
        <v>Balance sheets</v>
      </c>
      <c r="B136" s="67"/>
      <c r="C136" s="67"/>
      <c r="D136" s="67"/>
      <c r="E136" s="67"/>
      <c r="F136" s="67"/>
      <c r="G136" s="67"/>
      <c r="H136" s="67"/>
    </row>
    <row r="137" spans="1:8">
      <c r="A137" s="68" t="str">
        <f>HLOOKUP(INDICE!$F$2,Nombres!$C$3:$E$853,335)</f>
        <v>(Million Turkish liras)</v>
      </c>
      <c r="B137" s="72"/>
      <c r="C137" s="211"/>
      <c r="D137" s="211"/>
      <c r="E137" s="211"/>
      <c r="F137" s="72"/>
      <c r="G137" s="212"/>
      <c r="H137" s="212"/>
    </row>
    <row r="138" spans="1:8" ht="15.75">
      <c r="A138" s="72"/>
      <c r="B138" s="59">
        <v>42825</v>
      </c>
      <c r="C138" s="59">
        <v>42916</v>
      </c>
      <c r="D138" s="59">
        <v>43008</v>
      </c>
      <c r="E138" s="59">
        <v>43100</v>
      </c>
      <c r="F138" s="59">
        <v>43190</v>
      </c>
      <c r="G138" s="59">
        <v>43281</v>
      </c>
      <c r="H138" s="59">
        <v>43373</v>
      </c>
    </row>
    <row r="139" spans="1:8">
      <c r="A139" s="125" t="str">
        <f>HLOOKUP(INDICE!$F$2,Nombres!$C$3:$E$853,100)</f>
        <v>Cash, cash balances at central banks and other demand deposits</v>
      </c>
      <c r="B139" s="204">
        <v>8291.8567611402177</v>
      </c>
      <c r="C139" s="82">
        <v>7691.9751971585101</v>
      </c>
      <c r="D139" s="82">
        <v>14902.193914848211</v>
      </c>
      <c r="E139" s="205">
        <v>18351.214344817548</v>
      </c>
      <c r="F139" s="228">
        <v>14409.242734423209</v>
      </c>
      <c r="G139" s="82">
        <v>22265.093236671131</v>
      </c>
      <c r="H139" s="82">
        <v>53131.645481455693</v>
      </c>
    </row>
    <row r="140" spans="1:8">
      <c r="A140" s="125" t="str">
        <f>HLOOKUP(INDICE!$F$2,Nombres!$C$3:$E$853,101)</f>
        <v xml:space="preserve">Financial assets designated at fair value </v>
      </c>
      <c r="B140" s="204">
        <v>27166.380795693651</v>
      </c>
      <c r="C140" s="82">
        <v>26245.580237994905</v>
      </c>
      <c r="D140" s="82">
        <v>26965.440169396104</v>
      </c>
      <c r="E140" s="205">
        <v>29184.297625867221</v>
      </c>
      <c r="F140" s="228">
        <v>29353.375909727598</v>
      </c>
      <c r="G140" s="82">
        <v>31422.861535669097</v>
      </c>
      <c r="H140" s="82">
        <v>38623.903882987979</v>
      </c>
    </row>
    <row r="141" spans="1:8">
      <c r="A141" s="125" t="str">
        <f>HLOOKUP(INDICE!$F$2,Nombres!$C$3:$E$853,406)</f>
        <v>Financial assets at amortized cost</v>
      </c>
      <c r="B141" s="204">
        <v>281521.09416632628</v>
      </c>
      <c r="C141" s="82">
        <v>289546.10800072242</v>
      </c>
      <c r="D141" s="82">
        <v>285211.16115321271</v>
      </c>
      <c r="E141" s="205">
        <v>295894.66888535779</v>
      </c>
      <c r="F141" s="228">
        <v>305709.80338198273</v>
      </c>
      <c r="G141" s="82">
        <v>319475.12532102986</v>
      </c>
      <c r="H141" s="82">
        <v>350643.46996489633</v>
      </c>
    </row>
    <row r="142" spans="1:8">
      <c r="A142" s="125" t="str">
        <f>HLOOKUP(INDICE!$F$2,Nombres!$C$3:$E$853,103)</f>
        <v xml:space="preserve">    of which loans and advances to customers</v>
      </c>
      <c r="B142" s="204">
        <v>216213.58256618789</v>
      </c>
      <c r="C142" s="82">
        <v>221730.76876768403</v>
      </c>
      <c r="D142" s="82">
        <v>223520.19981350456</v>
      </c>
      <c r="E142" s="205">
        <v>233585.636087591</v>
      </c>
      <c r="F142" s="228">
        <v>243662.04696858686</v>
      </c>
      <c r="G142" s="82">
        <v>259074.09819617867</v>
      </c>
      <c r="H142" s="82">
        <v>284401.04614459339</v>
      </c>
    </row>
    <row r="143" spans="1:8">
      <c r="A143" s="125" t="str">
        <f>HLOOKUP(INDICE!$F$2,Nombres!$C$3:$E$853,106)</f>
        <v>Tangible assets</v>
      </c>
      <c r="B143" s="204">
        <v>5311.9883006818118</v>
      </c>
      <c r="C143" s="82">
        <v>5557.7789817992098</v>
      </c>
      <c r="D143" s="82">
        <v>5692.2091235263952</v>
      </c>
      <c r="E143" s="205">
        <v>6109.3910544932123</v>
      </c>
      <c r="F143" s="228">
        <v>6130.1241049651771</v>
      </c>
      <c r="G143" s="82">
        <v>6265.7125011344278</v>
      </c>
      <c r="H143" s="82">
        <v>6436.99111962389</v>
      </c>
    </row>
    <row r="144" spans="1:8">
      <c r="A144" s="125" t="str">
        <f>HLOOKUP(INDICE!$F$2,Nombres!$C$3:$E$853,107)</f>
        <v>Other assets</v>
      </c>
      <c r="B144" s="204">
        <v>8442.7655196822998</v>
      </c>
      <c r="C144" s="82">
        <v>7662.4887122991004</v>
      </c>
      <c r="D144" s="82">
        <v>7574.0183680500004</v>
      </c>
      <c r="E144" s="205">
        <v>8236.6739682387051</v>
      </c>
      <c r="F144" s="228">
        <v>8724.7063893976956</v>
      </c>
      <c r="G144" s="82">
        <v>9310.3048809784359</v>
      </c>
      <c r="H144" s="82">
        <v>11096.743862092982</v>
      </c>
    </row>
    <row r="145" spans="1:8">
      <c r="A145" s="206" t="str">
        <f>HLOOKUP(INDICE!$F$2,Nombres!$C$3:$E$853,108)</f>
        <v>Total assets / Liabilities and equity</v>
      </c>
      <c r="B145" s="207">
        <v>330734.0855435243</v>
      </c>
      <c r="C145" s="208">
        <v>336703.93112997414</v>
      </c>
      <c r="D145" s="208">
        <v>340345.02272903343</v>
      </c>
      <c r="E145" s="209">
        <v>357776.24587877444</v>
      </c>
      <c r="F145" s="207">
        <v>364327.25252049637</v>
      </c>
      <c r="G145" s="208">
        <v>388739.09747548297</v>
      </c>
      <c r="H145" s="208">
        <v>459932.75431105681</v>
      </c>
    </row>
    <row r="146" spans="1:8">
      <c r="A146" s="125" t="str">
        <f>HLOOKUP(INDICE!$F$2,Nombres!$C$3:$E$853,111)</f>
        <v>Financial liabilities held for trading and designated at fair value through profit or loss</v>
      </c>
      <c r="B146" s="204">
        <v>2779.054797770596</v>
      </c>
      <c r="C146" s="82">
        <v>2470.0660205084982</v>
      </c>
      <c r="D146" s="82">
        <v>2325.0077723907871</v>
      </c>
      <c r="E146" s="205">
        <v>2944.347454467752</v>
      </c>
      <c r="F146" s="228">
        <v>7847.542878412396</v>
      </c>
      <c r="G146" s="82">
        <v>10823.589705262144</v>
      </c>
      <c r="H146" s="82">
        <v>17843.378025422251</v>
      </c>
    </row>
    <row r="147" spans="1:8">
      <c r="A147" s="125" t="str">
        <f>HLOOKUP(INDICE!$F$2,Nombres!$C$3:$E$853,109)</f>
        <v>Deposits from central banks and credit institutions</v>
      </c>
      <c r="B147" s="204">
        <v>55854.27581298205</v>
      </c>
      <c r="C147" s="82">
        <v>53015.275018562003</v>
      </c>
      <c r="D147" s="82">
        <v>52890.392484728291</v>
      </c>
      <c r="E147" s="205">
        <v>50898.633350609656</v>
      </c>
      <c r="F147" s="228">
        <v>44182.058163795053</v>
      </c>
      <c r="G147" s="82">
        <v>50748.744120991454</v>
      </c>
      <c r="H147" s="82">
        <v>59473.898659237333</v>
      </c>
    </row>
    <row r="148" spans="1:8">
      <c r="A148" s="125" t="str">
        <f>HLOOKUP(INDICE!$F$2,Nombres!$C$3:$E$853,110)</f>
        <v>Deposits from customers</v>
      </c>
      <c r="B148" s="204">
        <v>181083.75626831033</v>
      </c>
      <c r="C148" s="82">
        <v>187745.82677380444</v>
      </c>
      <c r="D148" s="82">
        <v>191788.39254504204</v>
      </c>
      <c r="E148" s="205">
        <v>203184.6292021604</v>
      </c>
      <c r="F148" s="228">
        <v>211802.01486908743</v>
      </c>
      <c r="G148" s="82">
        <v>225864.91493121354</v>
      </c>
      <c r="H148" s="82">
        <v>270529.89726623712</v>
      </c>
    </row>
    <row r="149" spans="1:8">
      <c r="A149" s="125" t="str">
        <f>HLOOKUP(INDICE!$F$2,Nombres!$C$3:$E$853,112)</f>
        <v>Debt certificates</v>
      </c>
      <c r="B149" s="204">
        <v>32915.549436231333</v>
      </c>
      <c r="C149" s="82">
        <v>34710.782011919822</v>
      </c>
      <c r="D149" s="82">
        <v>33955.798203527404</v>
      </c>
      <c r="E149" s="205">
        <v>37942.519799594462</v>
      </c>
      <c r="F149" s="228">
        <v>33995.048535130416</v>
      </c>
      <c r="G149" s="82">
        <v>35188.517982692625</v>
      </c>
      <c r="H149" s="82">
        <v>39963.468570433572</v>
      </c>
    </row>
    <row r="150" spans="1:8">
      <c r="A150" s="125" t="str">
        <f>HLOOKUP(INDICE!$F$2,Nombres!$C$3:$E$853,115)</f>
        <v>Other liabilities</v>
      </c>
      <c r="B150" s="204">
        <v>49610.79705494568</v>
      </c>
      <c r="C150" s="82">
        <v>47743.788092228366</v>
      </c>
      <c r="D150" s="82">
        <v>48260.228439934137</v>
      </c>
      <c r="E150" s="205">
        <v>51470.716124325896</v>
      </c>
      <c r="F150" s="228">
        <v>53882.974915222789</v>
      </c>
      <c r="G150" s="82">
        <v>53710.582802652192</v>
      </c>
      <c r="H150" s="82">
        <v>57780.807297092069</v>
      </c>
    </row>
    <row r="151" spans="1:8">
      <c r="A151" s="125" t="str">
        <f>HLOOKUP(INDICE!$F$2,Nombres!$C$3:$E$853,116)</f>
        <v>Economic capital allocated</v>
      </c>
      <c r="B151" s="204">
        <v>8490.6463017630667</v>
      </c>
      <c r="C151" s="82">
        <v>11018.19693777216</v>
      </c>
      <c r="D151" s="82">
        <v>11125.20231856719</v>
      </c>
      <c r="E151" s="205">
        <v>11335.39508988243</v>
      </c>
      <c r="F151" s="228">
        <v>12617.613158848482</v>
      </c>
      <c r="G151" s="82">
        <v>12402.747932671004</v>
      </c>
      <c r="H151" s="82">
        <v>14341.30449263451</v>
      </c>
    </row>
    <row r="152" spans="1:8">
      <c r="A152" s="215"/>
      <c r="B152" s="69"/>
      <c r="C152" s="82"/>
      <c r="D152" s="82"/>
      <c r="E152" s="82"/>
      <c r="F152" s="82"/>
      <c r="G152" s="82"/>
      <c r="H152" s="82"/>
    </row>
    <row r="153" spans="1:8">
      <c r="A153" s="125"/>
      <c r="B153" s="69"/>
      <c r="C153" s="82"/>
      <c r="D153" s="82"/>
      <c r="E153" s="82"/>
      <c r="F153" s="82"/>
      <c r="G153" s="82"/>
      <c r="H153" s="82"/>
    </row>
    <row r="154" spans="1:8" ht="18">
      <c r="A154" s="65" t="str">
        <f>HLOOKUP(INDICE!$F$2,Nombres!$C$3:$E$853,117)</f>
        <v>Relevant business indicators</v>
      </c>
      <c r="B154" s="67"/>
      <c r="C154" s="67"/>
      <c r="D154" s="67"/>
      <c r="E154" s="67"/>
      <c r="F154" s="67"/>
      <c r="G154" s="67"/>
      <c r="H154" s="67"/>
    </row>
    <row r="155" spans="1:8">
      <c r="A155" s="68" t="str">
        <f>HLOOKUP(INDICE!$F$2,Nombres!$C$3:$E$853,335)</f>
        <v>(Million Turkish liras)</v>
      </c>
      <c r="B155" s="72"/>
      <c r="C155" s="72"/>
      <c r="D155" s="72"/>
      <c r="E155" s="72"/>
      <c r="F155" s="72"/>
      <c r="G155" s="72"/>
      <c r="H155" s="72"/>
    </row>
    <row r="156" spans="1:8" ht="15.75">
      <c r="A156" s="72"/>
      <c r="B156" s="59">
        <v>42825</v>
      </c>
      <c r="C156" s="59">
        <v>42916</v>
      </c>
      <c r="D156" s="59">
        <v>43008</v>
      </c>
      <c r="E156" s="59">
        <v>43100</v>
      </c>
      <c r="F156" s="59">
        <v>43190</v>
      </c>
      <c r="G156" s="59">
        <v>43281</v>
      </c>
      <c r="H156" s="59">
        <v>43373</v>
      </c>
    </row>
    <row r="157" spans="1:8">
      <c r="A157" s="125" t="str">
        <f>HLOOKUP(INDICE!$F$2,Nombres!$C$3:$E$853,118)</f>
        <v>Loans and advances to customers (gross) (*)</v>
      </c>
      <c r="B157" s="214">
        <v>225298.85379352729</v>
      </c>
      <c r="C157" s="69">
        <v>230881.05472277408</v>
      </c>
      <c r="D157" s="69">
        <v>233113.15340598769</v>
      </c>
      <c r="E157" s="69">
        <v>242983.7193231312</v>
      </c>
      <c r="F157" s="214">
        <v>253363.11571676249</v>
      </c>
      <c r="G157" s="69">
        <v>270117.46272401616</v>
      </c>
      <c r="H157" s="69">
        <v>298724.46456548839</v>
      </c>
    </row>
    <row r="158" spans="1:8">
      <c r="A158" s="125" t="str">
        <f>HLOOKUP(INDICE!$F$2,Nombres!$C$3:$E$853,315)</f>
        <v>Customer deposits under management (*)</v>
      </c>
      <c r="B158" s="214">
        <v>181020.18960010738</v>
      </c>
      <c r="C158" s="69">
        <v>187687.80270678064</v>
      </c>
      <c r="D158" s="69">
        <v>191727.90773987275</v>
      </c>
      <c r="E158" s="69">
        <v>202494.35120216044</v>
      </c>
      <c r="F158" s="214">
        <v>211298.92448893629</v>
      </c>
      <c r="G158" s="69">
        <v>225813.99110608106</v>
      </c>
      <c r="H158" s="69">
        <v>270493.63747170469</v>
      </c>
    </row>
    <row r="159" spans="1:8">
      <c r="A159" s="125" t="str">
        <f>HLOOKUP(INDICE!$F$2,Nombres!$C$3:$E$853,122)</f>
        <v>Mutual funds</v>
      </c>
      <c r="B159" s="214">
        <v>4571.3568953245513</v>
      </c>
      <c r="C159" s="69">
        <v>4953.2277807878318</v>
      </c>
      <c r="D159" s="69">
        <v>5082.2066867768526</v>
      </c>
      <c r="E159" s="69">
        <v>5750.8206261309178</v>
      </c>
      <c r="F159" s="214">
        <v>6519.0467328167997</v>
      </c>
      <c r="G159" s="69">
        <v>5891.0041159732864</v>
      </c>
      <c r="H159" s="69">
        <v>4503.7158279644782</v>
      </c>
    </row>
    <row r="160" spans="1:8">
      <c r="A160" s="125" t="str">
        <f>HLOOKUP(INDICE!$F$2,Nombres!$C$3:$E$853,206)</f>
        <v>Pension funds</v>
      </c>
      <c r="B160" s="214">
        <v>10069.775853820754</v>
      </c>
      <c r="C160" s="69">
        <v>10751.273252663897</v>
      </c>
      <c r="D160" s="69">
        <v>11362.2102158624</v>
      </c>
      <c r="E160" s="69">
        <v>11989.17500932013</v>
      </c>
      <c r="F160" s="214">
        <v>12389.564212320382</v>
      </c>
      <c r="G160" s="69">
        <v>12471.564550312567</v>
      </c>
      <c r="H160" s="69">
        <v>13489.639561204945</v>
      </c>
    </row>
    <row r="161" spans="1:8">
      <c r="A161" s="125" t="str">
        <f>HLOOKUP(INDICE!$F$2,Nombres!$C$3:$E$853,308)</f>
        <v>Other off balance-sheet funds</v>
      </c>
      <c r="B161" s="213">
        <v>0</v>
      </c>
      <c r="C161" s="82">
        <v>0</v>
      </c>
      <c r="D161" s="82">
        <v>0</v>
      </c>
      <c r="E161" s="82">
        <v>0</v>
      </c>
      <c r="F161" s="213">
        <v>0</v>
      </c>
      <c r="G161" s="82" t="s">
        <v>744</v>
      </c>
      <c r="H161" s="69">
        <v>0</v>
      </c>
    </row>
    <row r="162" spans="1:8">
      <c r="A162" s="215" t="str">
        <f>HLOOKUP(INDICE!$F$2,Nombres!$C$3:$E$853,312)</f>
        <v xml:space="preserve">(*) Excluding repos. </v>
      </c>
      <c r="B162" s="212"/>
      <c r="C162" s="216"/>
      <c r="D162" s="216"/>
      <c r="E162" s="216"/>
      <c r="F162" s="216"/>
      <c r="G162" s="72"/>
      <c r="H162" s="72"/>
    </row>
    <row r="163" spans="1:8">
      <c r="A163" s="215" t="str">
        <f>HLOOKUP(INDICE!$F$2,Nombres!$C$3:$E$853,313)</f>
        <v xml:space="preserve"> </v>
      </c>
      <c r="B163" s="212"/>
      <c r="C163" s="216"/>
      <c r="D163" s="216"/>
      <c r="E163" s="216"/>
      <c r="F163" s="216"/>
      <c r="G163" s="72"/>
      <c r="H163" s="72"/>
    </row>
    <row r="164" spans="1:8">
      <c r="A164" s="72"/>
      <c r="B164" s="72"/>
      <c r="C164" s="72"/>
      <c r="D164" s="72"/>
      <c r="E164" s="72"/>
      <c r="F164" s="72"/>
      <c r="G164" s="72"/>
      <c r="H164" s="72"/>
    </row>
    <row r="165" spans="1:8">
      <c r="A165" s="72"/>
      <c r="B165" s="72"/>
      <c r="C165" s="72"/>
      <c r="D165" s="72"/>
      <c r="E165" s="72"/>
      <c r="F165" s="72"/>
      <c r="G165" s="72"/>
      <c r="H165" s="72"/>
    </row>
    <row r="166" spans="1:8">
      <c r="A166" s="72"/>
      <c r="B166" s="72"/>
      <c r="C166" s="72"/>
      <c r="D166" s="72"/>
      <c r="E166" s="72"/>
      <c r="F166" s="72"/>
      <c r="G166" s="72"/>
      <c r="H166" s="72"/>
    </row>
    <row r="167" spans="1:8">
      <c r="A167" s="72"/>
      <c r="B167" s="72"/>
      <c r="C167" s="72"/>
      <c r="D167" s="72"/>
      <c r="E167" s="72"/>
      <c r="F167" s="72"/>
      <c r="G167" s="72"/>
      <c r="H167" s="72"/>
    </row>
    <row r="168" spans="1:8">
      <c r="A168" s="72"/>
      <c r="B168" s="72"/>
      <c r="C168" s="72"/>
      <c r="D168" s="72"/>
      <c r="E168" s="72"/>
      <c r="F168" s="72"/>
      <c r="G168" s="72"/>
      <c r="H168" s="72"/>
    </row>
    <row r="169" spans="1:8">
      <c r="A169" s="72"/>
      <c r="B169" s="72"/>
      <c r="C169" s="72"/>
      <c r="D169" s="72"/>
      <c r="E169" s="72"/>
      <c r="F169" s="72"/>
      <c r="G169" s="72"/>
      <c r="H169" s="72"/>
    </row>
    <row r="170" spans="1:8">
      <c r="A170" s="72"/>
      <c r="B170" s="72"/>
      <c r="C170" s="72"/>
      <c r="D170" s="72"/>
      <c r="E170" s="72"/>
      <c r="F170" s="72"/>
      <c r="G170" s="72"/>
      <c r="H170" s="72"/>
    </row>
  </sheetData>
  <mergeCells count="9">
    <mergeCell ref="B6:E6"/>
    <mergeCell ref="F6:H6"/>
    <mergeCell ref="B60:E60"/>
    <mergeCell ref="F60:H60"/>
    <mergeCell ref="B114:E114"/>
    <mergeCell ref="F114:H114"/>
    <mergeCell ref="A26:H26"/>
    <mergeCell ref="A46:H46"/>
    <mergeCell ref="A83:H8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INDICE</vt:lpstr>
      <vt:lpstr>Cuenta de resultados</vt:lpstr>
      <vt:lpstr>Balances consolidados</vt:lpstr>
      <vt:lpstr>Actividad bancaria en España</vt:lpstr>
      <vt:lpstr>Non core real estate</vt:lpstr>
      <vt:lpstr>Exposición inmobiliaria</vt:lpstr>
      <vt:lpstr>Estados Unidos</vt:lpstr>
      <vt:lpstr>México</vt:lpstr>
      <vt:lpstr>Turquía</vt:lpstr>
      <vt:lpstr>América del sur</vt:lpstr>
      <vt:lpstr>Argentina</vt:lpstr>
      <vt:lpstr>Chile</vt:lpstr>
      <vt:lpstr>Colombia</vt:lpstr>
      <vt:lpstr>Perú</vt:lpstr>
      <vt:lpstr>Resto de Eurasia</vt:lpstr>
      <vt:lpstr>Centro Corporativo</vt:lpstr>
      <vt:lpstr>Corporate &amp; Investment Banking</vt:lpstr>
      <vt:lpstr>Eficiencia</vt:lpstr>
      <vt:lpstr>Mora,cobertura,coste de riesgo</vt:lpstr>
      <vt:lpstr>Empleados,oficinas y cajeros</vt:lpstr>
      <vt:lpstr>Tipos de cambio</vt:lpstr>
      <vt:lpstr>Diferenciales de la clientela</vt:lpstr>
      <vt:lpstr>APR</vt:lpstr>
      <vt:lpstr>Inversion</vt:lpstr>
      <vt:lpstr>Recursos</vt:lpstr>
      <vt:lpstr>Nombres</vt:lpstr>
    </vt:vector>
  </TitlesOfParts>
  <Company>BBVA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IDUH IJABADENUYI ,ANDREW TOKUNBO</dc:creator>
  <cp:lastModifiedBy>GONZALEZ SOBRADO, SONIA</cp:lastModifiedBy>
  <dcterms:created xsi:type="dcterms:W3CDTF">2018-10-29T12:04:44Z</dcterms:created>
  <dcterms:modified xsi:type="dcterms:W3CDTF">2018-10-29T19:03:42Z</dcterms:modified>
</cp:coreProperties>
</file>